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aziste-my.sharepoint.com/personal/romana_kocourova_straziste_cz/Documents/VŘ/obec Cetoraz/2025/dětská skupina/"/>
    </mc:Choice>
  </mc:AlternateContent>
  <xr:revisionPtr revIDLastSave="3" documentId="8_{9936F7DA-270B-45FF-A455-2D47AA1F5EA2}" xr6:coauthVersionLast="47" xr6:coauthVersionMax="47" xr10:uidLastSave="{5E191410-2E55-42D7-BB5A-11A378DF58CE}"/>
  <bookViews>
    <workbookView xWindow="-120" yWindow="-120" windowWidth="29040" windowHeight="15720" activeTab="7" xr2:uid="{00000000-000D-0000-FFFF-FFFF00000000}"/>
  </bookViews>
  <sheets>
    <sheet name="Krycí list rozpočtu" sheetId="1" r:id="rId1"/>
    <sheet name="VORN" sheetId="2" r:id="rId2"/>
    <sheet name="Rozpočet - podskupiny" sheetId="3" r:id="rId3"/>
    <sheet name="Stavební rozpočet" sheetId="4" r:id="rId4"/>
    <sheet name="Výkaz výměr" sheetId="5" r:id="rId5"/>
    <sheet name="Zdroj tepla" sheetId="6" r:id="rId6"/>
    <sheet name="D.skupina" sheetId="7" r:id="rId7"/>
    <sheet name="Elektroinstalace" sheetId="8" r:id="rId8"/>
  </sheets>
  <definedNames>
    <definedName name="_xlnm._FilterDatabase" localSheetId="7" hidden="1">Elektroinstalace!$C$130:$K$371</definedName>
    <definedName name="_xlnm.Print_Titles" localSheetId="7">Elektroinstalace!$130:$130</definedName>
    <definedName name="_xlnm.Print_Area" localSheetId="7">Elektroinstalace!$C$4:$J$76,Elektroinstalace!$C$82:$J$114,Elektroinstalace!$C$120:$J$371</definedName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371" i="8" l="1"/>
  <c r="BK369" i="8" s="1"/>
  <c r="J369" i="8" s="1"/>
  <c r="J113" i="8" s="1"/>
  <c r="BI371" i="8"/>
  <c r="BH371" i="8"/>
  <c r="BG371" i="8"/>
  <c r="BF371" i="8"/>
  <c r="T371" i="8"/>
  <c r="R371" i="8"/>
  <c r="P371" i="8"/>
  <c r="J371" i="8"/>
  <c r="BE371" i="8" s="1"/>
  <c r="BK370" i="8"/>
  <c r="BI370" i="8"/>
  <c r="BH370" i="8"/>
  <c r="BG370" i="8"/>
  <c r="BF370" i="8"/>
  <c r="T370" i="8"/>
  <c r="T369" i="8" s="1"/>
  <c r="R370" i="8"/>
  <c r="P370" i="8"/>
  <c r="P369" i="8" s="1"/>
  <c r="J370" i="8"/>
  <c r="BE370" i="8" s="1"/>
  <c r="BK368" i="8"/>
  <c r="BK367" i="8" s="1"/>
  <c r="BI368" i="8"/>
  <c r="BH368" i="8"/>
  <c r="BG368" i="8"/>
  <c r="BF368" i="8"/>
  <c r="T368" i="8"/>
  <c r="T367" i="8" s="1"/>
  <c r="R368" i="8"/>
  <c r="R367" i="8" s="1"/>
  <c r="P368" i="8"/>
  <c r="P367" i="8" s="1"/>
  <c r="J368" i="8"/>
  <c r="BE368" i="8" s="1"/>
  <c r="BK366" i="8"/>
  <c r="BI366" i="8"/>
  <c r="BH366" i="8"/>
  <c r="BG366" i="8"/>
  <c r="BF366" i="8"/>
  <c r="T366" i="8"/>
  <c r="T365" i="8" s="1"/>
  <c r="R366" i="8"/>
  <c r="R365" i="8" s="1"/>
  <c r="P366" i="8"/>
  <c r="P365" i="8" s="1"/>
  <c r="J366" i="8"/>
  <c r="BE366" i="8" s="1"/>
  <c r="BK365" i="8"/>
  <c r="J365" i="8" s="1"/>
  <c r="J111" i="8" s="1"/>
  <c r="BK363" i="8"/>
  <c r="BI363" i="8"/>
  <c r="BH363" i="8"/>
  <c r="BG363" i="8"/>
  <c r="BF363" i="8"/>
  <c r="T363" i="8"/>
  <c r="R363" i="8"/>
  <c r="P363" i="8"/>
  <c r="J363" i="8"/>
  <c r="BE363" i="8" s="1"/>
  <c r="BK362" i="8"/>
  <c r="BI362" i="8"/>
  <c r="BH362" i="8"/>
  <c r="BG362" i="8"/>
  <c r="BF362" i="8"/>
  <c r="T362" i="8"/>
  <c r="R362" i="8"/>
  <c r="P362" i="8"/>
  <c r="J362" i="8"/>
  <c r="BE362" i="8" s="1"/>
  <c r="BK361" i="8"/>
  <c r="BI361" i="8"/>
  <c r="BH361" i="8"/>
  <c r="BG361" i="8"/>
  <c r="BF361" i="8"/>
  <c r="BE361" i="8"/>
  <c r="T361" i="8"/>
  <c r="R361" i="8"/>
  <c r="P361" i="8"/>
  <c r="P360" i="8" s="1"/>
  <c r="J361" i="8"/>
  <c r="BK359" i="8"/>
  <c r="BI359" i="8"/>
  <c r="BH359" i="8"/>
  <c r="BG359" i="8"/>
  <c r="BF359" i="8"/>
  <c r="BE359" i="8"/>
  <c r="T359" i="8"/>
  <c r="R359" i="8"/>
  <c r="P359" i="8"/>
  <c r="J359" i="8"/>
  <c r="BK358" i="8"/>
  <c r="BI358" i="8"/>
  <c r="BH358" i="8"/>
  <c r="BG358" i="8"/>
  <c r="BF358" i="8"/>
  <c r="T358" i="8"/>
  <c r="R358" i="8"/>
  <c r="P358" i="8"/>
  <c r="J358" i="8"/>
  <c r="BE358" i="8" s="1"/>
  <c r="BK357" i="8"/>
  <c r="BI357" i="8"/>
  <c r="BH357" i="8"/>
  <c r="BG357" i="8"/>
  <c r="BF357" i="8"/>
  <c r="T357" i="8"/>
  <c r="R357" i="8"/>
  <c r="P357" i="8"/>
  <c r="J357" i="8"/>
  <c r="BE357" i="8" s="1"/>
  <c r="BK356" i="8"/>
  <c r="BI356" i="8"/>
  <c r="BH356" i="8"/>
  <c r="BG356" i="8"/>
  <c r="BF356" i="8"/>
  <c r="T356" i="8"/>
  <c r="R356" i="8"/>
  <c r="P356" i="8"/>
  <c r="J356" i="8"/>
  <c r="BE356" i="8" s="1"/>
  <c r="BK355" i="8"/>
  <c r="BI355" i="8"/>
  <c r="BH355" i="8"/>
  <c r="BG355" i="8"/>
  <c r="BF355" i="8"/>
  <c r="T355" i="8"/>
  <c r="R355" i="8"/>
  <c r="P355" i="8"/>
  <c r="J355" i="8"/>
  <c r="BE355" i="8" s="1"/>
  <c r="BK354" i="8"/>
  <c r="BI354" i="8"/>
  <c r="BH354" i="8"/>
  <c r="BG354" i="8"/>
  <c r="BF354" i="8"/>
  <c r="BE354" i="8"/>
  <c r="T354" i="8"/>
  <c r="R354" i="8"/>
  <c r="P354" i="8"/>
  <c r="J354" i="8"/>
  <c r="BK353" i="8"/>
  <c r="BI353" i="8"/>
  <c r="BH353" i="8"/>
  <c r="BG353" i="8"/>
  <c r="BF353" i="8"/>
  <c r="T353" i="8"/>
  <c r="R353" i="8"/>
  <c r="P353" i="8"/>
  <c r="J353" i="8"/>
  <c r="BE353" i="8" s="1"/>
  <c r="BK352" i="8"/>
  <c r="BI352" i="8"/>
  <c r="BH352" i="8"/>
  <c r="BG352" i="8"/>
  <c r="BF352" i="8"/>
  <c r="T352" i="8"/>
  <c r="R352" i="8"/>
  <c r="P352" i="8"/>
  <c r="J352" i="8"/>
  <c r="BE352" i="8" s="1"/>
  <c r="BK351" i="8"/>
  <c r="BI351" i="8"/>
  <c r="BH351" i="8"/>
  <c r="BG351" i="8"/>
  <c r="BF351" i="8"/>
  <c r="T351" i="8"/>
  <c r="R351" i="8"/>
  <c r="P351" i="8"/>
  <c r="J351" i="8"/>
  <c r="BE351" i="8" s="1"/>
  <c r="BK350" i="8"/>
  <c r="BI350" i="8"/>
  <c r="BH350" i="8"/>
  <c r="BG350" i="8"/>
  <c r="BF350" i="8"/>
  <c r="T350" i="8"/>
  <c r="R350" i="8"/>
  <c r="P350" i="8"/>
  <c r="J350" i="8"/>
  <c r="BE350" i="8" s="1"/>
  <c r="BK349" i="8"/>
  <c r="BI349" i="8"/>
  <c r="BH349" i="8"/>
  <c r="BG349" i="8"/>
  <c r="BF349" i="8"/>
  <c r="T349" i="8"/>
  <c r="R349" i="8"/>
  <c r="P349" i="8"/>
  <c r="J349" i="8"/>
  <c r="BE349" i="8" s="1"/>
  <c r="BK348" i="8"/>
  <c r="BI348" i="8"/>
  <c r="BH348" i="8"/>
  <c r="BG348" i="8"/>
  <c r="BF348" i="8"/>
  <c r="T348" i="8"/>
  <c r="R348" i="8"/>
  <c r="P348" i="8"/>
  <c r="J348" i="8"/>
  <c r="BE348" i="8" s="1"/>
  <c r="BK347" i="8"/>
  <c r="BI347" i="8"/>
  <c r="BH347" i="8"/>
  <c r="BG347" i="8"/>
  <c r="BF347" i="8"/>
  <c r="BE347" i="8"/>
  <c r="T347" i="8"/>
  <c r="R347" i="8"/>
  <c r="P347" i="8"/>
  <c r="J347" i="8"/>
  <c r="BK346" i="8"/>
  <c r="BI346" i="8"/>
  <c r="BH346" i="8"/>
  <c r="BG346" i="8"/>
  <c r="BF346" i="8"/>
  <c r="T346" i="8"/>
  <c r="R346" i="8"/>
  <c r="P346" i="8"/>
  <c r="J346" i="8"/>
  <c r="BE346" i="8" s="1"/>
  <c r="BK344" i="8"/>
  <c r="BI344" i="8"/>
  <c r="BH344" i="8"/>
  <c r="BG344" i="8"/>
  <c r="BF344" i="8"/>
  <c r="T344" i="8"/>
  <c r="R344" i="8"/>
  <c r="P344" i="8"/>
  <c r="J344" i="8"/>
  <c r="BE344" i="8" s="1"/>
  <c r="BK343" i="8"/>
  <c r="BI343" i="8"/>
  <c r="BH343" i="8"/>
  <c r="BG343" i="8"/>
  <c r="BF343" i="8"/>
  <c r="T343" i="8"/>
  <c r="R343" i="8"/>
  <c r="P343" i="8"/>
  <c r="J343" i="8"/>
  <c r="BE343" i="8" s="1"/>
  <c r="BK342" i="8"/>
  <c r="BI342" i="8"/>
  <c r="BH342" i="8"/>
  <c r="BG342" i="8"/>
  <c r="BF342" i="8"/>
  <c r="T342" i="8"/>
  <c r="R342" i="8"/>
  <c r="P342" i="8"/>
  <c r="J342" i="8"/>
  <c r="BE342" i="8" s="1"/>
  <c r="BK340" i="8"/>
  <c r="BI340" i="8"/>
  <c r="BH340" i="8"/>
  <c r="BG340" i="8"/>
  <c r="BF340" i="8"/>
  <c r="T340" i="8"/>
  <c r="R340" i="8"/>
  <c r="P340" i="8"/>
  <c r="J340" i="8"/>
  <c r="BE340" i="8" s="1"/>
  <c r="BK339" i="8"/>
  <c r="BI339" i="8"/>
  <c r="BH339" i="8"/>
  <c r="BG339" i="8"/>
  <c r="BF339" i="8"/>
  <c r="T339" i="8"/>
  <c r="R339" i="8"/>
  <c r="P339" i="8"/>
  <c r="J339" i="8"/>
  <c r="BE339" i="8" s="1"/>
  <c r="BK338" i="8"/>
  <c r="BI338" i="8"/>
  <c r="BH338" i="8"/>
  <c r="BG338" i="8"/>
  <c r="BF338" i="8"/>
  <c r="T338" i="8"/>
  <c r="R338" i="8"/>
  <c r="P338" i="8"/>
  <c r="J338" i="8"/>
  <c r="BE338" i="8" s="1"/>
  <c r="BK337" i="8"/>
  <c r="BI337" i="8"/>
  <c r="BH337" i="8"/>
  <c r="BG337" i="8"/>
  <c r="BF337" i="8"/>
  <c r="T337" i="8"/>
  <c r="R337" i="8"/>
  <c r="P337" i="8"/>
  <c r="J337" i="8"/>
  <c r="BE337" i="8" s="1"/>
  <c r="BK336" i="8"/>
  <c r="BI336" i="8"/>
  <c r="BH336" i="8"/>
  <c r="BG336" i="8"/>
  <c r="BF336" i="8"/>
  <c r="T336" i="8"/>
  <c r="R336" i="8"/>
  <c r="P336" i="8"/>
  <c r="J336" i="8"/>
  <c r="BE336" i="8" s="1"/>
  <c r="BK335" i="8"/>
  <c r="BI335" i="8"/>
  <c r="BH335" i="8"/>
  <c r="BG335" i="8"/>
  <c r="BF335" i="8"/>
  <c r="T335" i="8"/>
  <c r="R335" i="8"/>
  <c r="P335" i="8"/>
  <c r="J335" i="8"/>
  <c r="BE335" i="8" s="1"/>
  <c r="BK334" i="8"/>
  <c r="BI334" i="8"/>
  <c r="BH334" i="8"/>
  <c r="BG334" i="8"/>
  <c r="BF334" i="8"/>
  <c r="T334" i="8"/>
  <c r="R334" i="8"/>
  <c r="P334" i="8"/>
  <c r="J334" i="8"/>
  <c r="BE334" i="8" s="1"/>
  <c r="BK333" i="8"/>
  <c r="BI333" i="8"/>
  <c r="BH333" i="8"/>
  <c r="BG333" i="8"/>
  <c r="BF333" i="8"/>
  <c r="T333" i="8"/>
  <c r="R333" i="8"/>
  <c r="P333" i="8"/>
  <c r="J333" i="8"/>
  <c r="BE333" i="8" s="1"/>
  <c r="BK332" i="8"/>
  <c r="BI332" i="8"/>
  <c r="BH332" i="8"/>
  <c r="BG332" i="8"/>
  <c r="BF332" i="8"/>
  <c r="T332" i="8"/>
  <c r="R332" i="8"/>
  <c r="P332" i="8"/>
  <c r="J332" i="8"/>
  <c r="BE332" i="8" s="1"/>
  <c r="BK331" i="8"/>
  <c r="BI331" i="8"/>
  <c r="BH331" i="8"/>
  <c r="BG331" i="8"/>
  <c r="BF331" i="8"/>
  <c r="T331" i="8"/>
  <c r="R331" i="8"/>
  <c r="P331" i="8"/>
  <c r="J331" i="8"/>
  <c r="BE331" i="8" s="1"/>
  <c r="BK330" i="8"/>
  <c r="BI330" i="8"/>
  <c r="BH330" i="8"/>
  <c r="BG330" i="8"/>
  <c r="BF330" i="8"/>
  <c r="T330" i="8"/>
  <c r="R330" i="8"/>
  <c r="P330" i="8"/>
  <c r="J330" i="8"/>
  <c r="BE330" i="8" s="1"/>
  <c r="BK329" i="8"/>
  <c r="BI329" i="8"/>
  <c r="BH329" i="8"/>
  <c r="BG329" i="8"/>
  <c r="BF329" i="8"/>
  <c r="T329" i="8"/>
  <c r="R329" i="8"/>
  <c r="P329" i="8"/>
  <c r="J329" i="8"/>
  <c r="BE329" i="8" s="1"/>
  <c r="BK328" i="8"/>
  <c r="BI328" i="8"/>
  <c r="BH328" i="8"/>
  <c r="BG328" i="8"/>
  <c r="BF328" i="8"/>
  <c r="T328" i="8"/>
  <c r="R328" i="8"/>
  <c r="P328" i="8"/>
  <c r="J328" i="8"/>
  <c r="BE328" i="8" s="1"/>
  <c r="BK327" i="8"/>
  <c r="BI327" i="8"/>
  <c r="BH327" i="8"/>
  <c r="BG327" i="8"/>
  <c r="BF327" i="8"/>
  <c r="T327" i="8"/>
  <c r="R327" i="8"/>
  <c r="P327" i="8"/>
  <c r="J327" i="8"/>
  <c r="BE327" i="8" s="1"/>
  <c r="BK326" i="8"/>
  <c r="BI326" i="8"/>
  <c r="BH326" i="8"/>
  <c r="BG326" i="8"/>
  <c r="BF326" i="8"/>
  <c r="T326" i="8"/>
  <c r="R326" i="8"/>
  <c r="P326" i="8"/>
  <c r="J326" i="8"/>
  <c r="BE326" i="8" s="1"/>
  <c r="BK325" i="8"/>
  <c r="BI325" i="8"/>
  <c r="BH325" i="8"/>
  <c r="BG325" i="8"/>
  <c r="BF325" i="8"/>
  <c r="T325" i="8"/>
  <c r="R325" i="8"/>
  <c r="P325" i="8"/>
  <c r="J325" i="8"/>
  <c r="BE325" i="8" s="1"/>
  <c r="BK324" i="8"/>
  <c r="BI324" i="8"/>
  <c r="BH324" i="8"/>
  <c r="BG324" i="8"/>
  <c r="BF324" i="8"/>
  <c r="T324" i="8"/>
  <c r="R324" i="8"/>
  <c r="P324" i="8"/>
  <c r="J324" i="8"/>
  <c r="BE324" i="8" s="1"/>
  <c r="BK323" i="8"/>
  <c r="BI323" i="8"/>
  <c r="BH323" i="8"/>
  <c r="BG323" i="8"/>
  <c r="BF323" i="8"/>
  <c r="T323" i="8"/>
  <c r="R323" i="8"/>
  <c r="P323" i="8"/>
  <c r="J323" i="8"/>
  <c r="BE323" i="8" s="1"/>
  <c r="BK322" i="8"/>
  <c r="BI322" i="8"/>
  <c r="BH322" i="8"/>
  <c r="BG322" i="8"/>
  <c r="BF322" i="8"/>
  <c r="T322" i="8"/>
  <c r="R322" i="8"/>
  <c r="P322" i="8"/>
  <c r="J322" i="8"/>
  <c r="BE322" i="8" s="1"/>
  <c r="BK321" i="8"/>
  <c r="BI321" i="8"/>
  <c r="BH321" i="8"/>
  <c r="BG321" i="8"/>
  <c r="BF321" i="8"/>
  <c r="T321" i="8"/>
  <c r="R321" i="8"/>
  <c r="P321" i="8"/>
  <c r="J321" i="8"/>
  <c r="BE321" i="8" s="1"/>
  <c r="BK320" i="8"/>
  <c r="BI320" i="8"/>
  <c r="BH320" i="8"/>
  <c r="BG320" i="8"/>
  <c r="BF320" i="8"/>
  <c r="T320" i="8"/>
  <c r="R320" i="8"/>
  <c r="P320" i="8"/>
  <c r="J320" i="8"/>
  <c r="BE320" i="8" s="1"/>
  <c r="BK319" i="8"/>
  <c r="BI319" i="8"/>
  <c r="BH319" i="8"/>
  <c r="BG319" i="8"/>
  <c r="BF319" i="8"/>
  <c r="T319" i="8"/>
  <c r="R319" i="8"/>
  <c r="P319" i="8"/>
  <c r="J319" i="8"/>
  <c r="BE319" i="8" s="1"/>
  <c r="BK318" i="8"/>
  <c r="BI318" i="8"/>
  <c r="BH318" i="8"/>
  <c r="BG318" i="8"/>
  <c r="BF318" i="8"/>
  <c r="T318" i="8"/>
  <c r="R318" i="8"/>
  <c r="P318" i="8"/>
  <c r="J318" i="8"/>
  <c r="BE318" i="8" s="1"/>
  <c r="BK317" i="8"/>
  <c r="BI317" i="8"/>
  <c r="BH317" i="8"/>
  <c r="BG317" i="8"/>
  <c r="BF317" i="8"/>
  <c r="T317" i="8"/>
  <c r="R317" i="8"/>
  <c r="P317" i="8"/>
  <c r="J317" i="8"/>
  <c r="BE317" i="8" s="1"/>
  <c r="BK316" i="8"/>
  <c r="BI316" i="8"/>
  <c r="BH316" i="8"/>
  <c r="BG316" i="8"/>
  <c r="BF316" i="8"/>
  <c r="T316" i="8"/>
  <c r="R316" i="8"/>
  <c r="P316" i="8"/>
  <c r="J316" i="8"/>
  <c r="BE316" i="8" s="1"/>
  <c r="BK315" i="8"/>
  <c r="BI315" i="8"/>
  <c r="BH315" i="8"/>
  <c r="BG315" i="8"/>
  <c r="BF315" i="8"/>
  <c r="T315" i="8"/>
  <c r="R315" i="8"/>
  <c r="P315" i="8"/>
  <c r="J315" i="8"/>
  <c r="BE315" i="8" s="1"/>
  <c r="BK314" i="8"/>
  <c r="BI314" i="8"/>
  <c r="BH314" i="8"/>
  <c r="BG314" i="8"/>
  <c r="BF314" i="8"/>
  <c r="T314" i="8"/>
  <c r="R314" i="8"/>
  <c r="P314" i="8"/>
  <c r="J314" i="8"/>
  <c r="BE314" i="8" s="1"/>
  <c r="BK313" i="8"/>
  <c r="BI313" i="8"/>
  <c r="BH313" i="8"/>
  <c r="BG313" i="8"/>
  <c r="BF313" i="8"/>
  <c r="T313" i="8"/>
  <c r="R313" i="8"/>
  <c r="P313" i="8"/>
  <c r="J313" i="8"/>
  <c r="BE313" i="8" s="1"/>
  <c r="BK312" i="8"/>
  <c r="BI312" i="8"/>
  <c r="BH312" i="8"/>
  <c r="BG312" i="8"/>
  <c r="BF312" i="8"/>
  <c r="T312" i="8"/>
  <c r="R312" i="8"/>
  <c r="P312" i="8"/>
  <c r="J312" i="8"/>
  <c r="BE312" i="8" s="1"/>
  <c r="BK311" i="8"/>
  <c r="BI311" i="8"/>
  <c r="BH311" i="8"/>
  <c r="BG311" i="8"/>
  <c r="BF311" i="8"/>
  <c r="T311" i="8"/>
  <c r="R311" i="8"/>
  <c r="P311" i="8"/>
  <c r="J311" i="8"/>
  <c r="BE311" i="8" s="1"/>
  <c r="BK310" i="8"/>
  <c r="BI310" i="8"/>
  <c r="BH310" i="8"/>
  <c r="BG310" i="8"/>
  <c r="BF310" i="8"/>
  <c r="T310" i="8"/>
  <c r="R310" i="8"/>
  <c r="P310" i="8"/>
  <c r="J310" i="8"/>
  <c r="BE310" i="8" s="1"/>
  <c r="BK309" i="8"/>
  <c r="BI309" i="8"/>
  <c r="BH309" i="8"/>
  <c r="BG309" i="8"/>
  <c r="BF309" i="8"/>
  <c r="T309" i="8"/>
  <c r="R309" i="8"/>
  <c r="P309" i="8"/>
  <c r="J309" i="8"/>
  <c r="BE309" i="8" s="1"/>
  <c r="BK308" i="8"/>
  <c r="BI308" i="8"/>
  <c r="BH308" i="8"/>
  <c r="BG308" i="8"/>
  <c r="BF308" i="8"/>
  <c r="T308" i="8"/>
  <c r="R308" i="8"/>
  <c r="P308" i="8"/>
  <c r="J308" i="8"/>
  <c r="BE308" i="8" s="1"/>
  <c r="BK307" i="8"/>
  <c r="BI307" i="8"/>
  <c r="BH307" i="8"/>
  <c r="BG307" i="8"/>
  <c r="BF307" i="8"/>
  <c r="T307" i="8"/>
  <c r="R307" i="8"/>
  <c r="P307" i="8"/>
  <c r="J307" i="8"/>
  <c r="BE307" i="8" s="1"/>
  <c r="BK306" i="8"/>
  <c r="BI306" i="8"/>
  <c r="BH306" i="8"/>
  <c r="BG306" i="8"/>
  <c r="BF306" i="8"/>
  <c r="BE306" i="8"/>
  <c r="T306" i="8"/>
  <c r="R306" i="8"/>
  <c r="P306" i="8"/>
  <c r="J306" i="8"/>
  <c r="BK305" i="8"/>
  <c r="BI305" i="8"/>
  <c r="BH305" i="8"/>
  <c r="BG305" i="8"/>
  <c r="BF305" i="8"/>
  <c r="T305" i="8"/>
  <c r="R305" i="8"/>
  <c r="P305" i="8"/>
  <c r="J305" i="8"/>
  <c r="BE305" i="8" s="1"/>
  <c r="BK304" i="8"/>
  <c r="BI304" i="8"/>
  <c r="BH304" i="8"/>
  <c r="BG304" i="8"/>
  <c r="BF304" i="8"/>
  <c r="T304" i="8"/>
  <c r="R304" i="8"/>
  <c r="P304" i="8"/>
  <c r="J304" i="8"/>
  <c r="BE304" i="8" s="1"/>
  <c r="BK303" i="8"/>
  <c r="BI303" i="8"/>
  <c r="BH303" i="8"/>
  <c r="BG303" i="8"/>
  <c r="BF303" i="8"/>
  <c r="T303" i="8"/>
  <c r="R303" i="8"/>
  <c r="P303" i="8"/>
  <c r="J303" i="8"/>
  <c r="BE303" i="8" s="1"/>
  <c r="BK301" i="8"/>
  <c r="BI301" i="8"/>
  <c r="BH301" i="8"/>
  <c r="BG301" i="8"/>
  <c r="BF301" i="8"/>
  <c r="T301" i="8"/>
  <c r="R301" i="8"/>
  <c r="P301" i="8"/>
  <c r="J301" i="8"/>
  <c r="BE301" i="8" s="1"/>
  <c r="BK300" i="8"/>
  <c r="BI300" i="8"/>
  <c r="BH300" i="8"/>
  <c r="BG300" i="8"/>
  <c r="BF300" i="8"/>
  <c r="T300" i="8"/>
  <c r="R300" i="8"/>
  <c r="P300" i="8"/>
  <c r="J300" i="8"/>
  <c r="BE300" i="8" s="1"/>
  <c r="BK299" i="8"/>
  <c r="BI299" i="8"/>
  <c r="BH299" i="8"/>
  <c r="BG299" i="8"/>
  <c r="BF299" i="8"/>
  <c r="T299" i="8"/>
  <c r="R299" i="8"/>
  <c r="P299" i="8"/>
  <c r="J299" i="8"/>
  <c r="BE299" i="8" s="1"/>
  <c r="BK298" i="8"/>
  <c r="BI298" i="8"/>
  <c r="BH298" i="8"/>
  <c r="BG298" i="8"/>
  <c r="BF298" i="8"/>
  <c r="T298" i="8"/>
  <c r="R298" i="8"/>
  <c r="P298" i="8"/>
  <c r="J298" i="8"/>
  <c r="BE298" i="8" s="1"/>
  <c r="BK297" i="8"/>
  <c r="BI297" i="8"/>
  <c r="BH297" i="8"/>
  <c r="BG297" i="8"/>
  <c r="BF297" i="8"/>
  <c r="T297" i="8"/>
  <c r="R297" i="8"/>
  <c r="P297" i="8"/>
  <c r="J297" i="8"/>
  <c r="BE297" i="8" s="1"/>
  <c r="BK296" i="8"/>
  <c r="BI296" i="8"/>
  <c r="BH296" i="8"/>
  <c r="BG296" i="8"/>
  <c r="BF296" i="8"/>
  <c r="T296" i="8"/>
  <c r="R296" i="8"/>
  <c r="P296" i="8"/>
  <c r="J296" i="8"/>
  <c r="BE296" i="8" s="1"/>
  <c r="BK295" i="8"/>
  <c r="BI295" i="8"/>
  <c r="BH295" i="8"/>
  <c r="BG295" i="8"/>
  <c r="BF295" i="8"/>
  <c r="T295" i="8"/>
  <c r="R295" i="8"/>
  <c r="P295" i="8"/>
  <c r="J295" i="8"/>
  <c r="BE295" i="8" s="1"/>
  <c r="BK294" i="8"/>
  <c r="BI294" i="8"/>
  <c r="BH294" i="8"/>
  <c r="BG294" i="8"/>
  <c r="BF294" i="8"/>
  <c r="BE294" i="8"/>
  <c r="T294" i="8"/>
  <c r="R294" i="8"/>
  <c r="P294" i="8"/>
  <c r="J294" i="8"/>
  <c r="BK293" i="8"/>
  <c r="BI293" i="8"/>
  <c r="BH293" i="8"/>
  <c r="BG293" i="8"/>
  <c r="BF293" i="8"/>
  <c r="T293" i="8"/>
  <c r="R293" i="8"/>
  <c r="P293" i="8"/>
  <c r="J293" i="8"/>
  <c r="BE293" i="8" s="1"/>
  <c r="BK292" i="8"/>
  <c r="BI292" i="8"/>
  <c r="BH292" i="8"/>
  <c r="BG292" i="8"/>
  <c r="BF292" i="8"/>
  <c r="T292" i="8"/>
  <c r="R292" i="8"/>
  <c r="P292" i="8"/>
  <c r="J292" i="8"/>
  <c r="BE292" i="8" s="1"/>
  <c r="BK291" i="8"/>
  <c r="BI291" i="8"/>
  <c r="BH291" i="8"/>
  <c r="BG291" i="8"/>
  <c r="BF291" i="8"/>
  <c r="T291" i="8"/>
  <c r="R291" i="8"/>
  <c r="P291" i="8"/>
  <c r="J291" i="8"/>
  <c r="BE291" i="8" s="1"/>
  <c r="BK290" i="8"/>
  <c r="BI290" i="8"/>
  <c r="BH290" i="8"/>
  <c r="BG290" i="8"/>
  <c r="BF290" i="8"/>
  <c r="T290" i="8"/>
  <c r="R290" i="8"/>
  <c r="P290" i="8"/>
  <c r="J290" i="8"/>
  <c r="BE290" i="8" s="1"/>
  <c r="BK289" i="8"/>
  <c r="BI289" i="8"/>
  <c r="BH289" i="8"/>
  <c r="BG289" i="8"/>
  <c r="BF289" i="8"/>
  <c r="T289" i="8"/>
  <c r="R289" i="8"/>
  <c r="P289" i="8"/>
  <c r="J289" i="8"/>
  <c r="BE289" i="8" s="1"/>
  <c r="BK288" i="8"/>
  <c r="BI288" i="8"/>
  <c r="BH288" i="8"/>
  <c r="BG288" i="8"/>
  <c r="BF288" i="8"/>
  <c r="T288" i="8"/>
  <c r="R288" i="8"/>
  <c r="P288" i="8"/>
  <c r="J288" i="8"/>
  <c r="BE288" i="8" s="1"/>
  <c r="BK287" i="8"/>
  <c r="BI287" i="8"/>
  <c r="BH287" i="8"/>
  <c r="BG287" i="8"/>
  <c r="BF287" i="8"/>
  <c r="T287" i="8"/>
  <c r="R287" i="8"/>
  <c r="P287" i="8"/>
  <c r="J287" i="8"/>
  <c r="BE287" i="8" s="1"/>
  <c r="BK286" i="8"/>
  <c r="BI286" i="8"/>
  <c r="BH286" i="8"/>
  <c r="BG286" i="8"/>
  <c r="BF286" i="8"/>
  <c r="T286" i="8"/>
  <c r="R286" i="8"/>
  <c r="P286" i="8"/>
  <c r="J286" i="8"/>
  <c r="BE286" i="8" s="1"/>
  <c r="BK285" i="8"/>
  <c r="BI285" i="8"/>
  <c r="BH285" i="8"/>
  <c r="BG285" i="8"/>
  <c r="BF285" i="8"/>
  <c r="T285" i="8"/>
  <c r="R285" i="8"/>
  <c r="P285" i="8"/>
  <c r="J285" i="8"/>
  <c r="BE285" i="8" s="1"/>
  <c r="BK284" i="8"/>
  <c r="BI284" i="8"/>
  <c r="BH284" i="8"/>
  <c r="BG284" i="8"/>
  <c r="BF284" i="8"/>
  <c r="T284" i="8"/>
  <c r="R284" i="8"/>
  <c r="P284" i="8"/>
  <c r="J284" i="8"/>
  <c r="BE284" i="8" s="1"/>
  <c r="BK283" i="8"/>
  <c r="BI283" i="8"/>
  <c r="BH283" i="8"/>
  <c r="BG283" i="8"/>
  <c r="BF283" i="8"/>
  <c r="T283" i="8"/>
  <c r="R283" i="8"/>
  <c r="P283" i="8"/>
  <c r="J283" i="8"/>
  <c r="BE283" i="8" s="1"/>
  <c r="BK282" i="8"/>
  <c r="BI282" i="8"/>
  <c r="BH282" i="8"/>
  <c r="BG282" i="8"/>
  <c r="BF282" i="8"/>
  <c r="T282" i="8"/>
  <c r="R282" i="8"/>
  <c r="P282" i="8"/>
  <c r="J282" i="8"/>
  <c r="BE282" i="8" s="1"/>
  <c r="BK281" i="8"/>
  <c r="BI281" i="8"/>
  <c r="BH281" i="8"/>
  <c r="BG281" i="8"/>
  <c r="BF281" i="8"/>
  <c r="T281" i="8"/>
  <c r="R281" i="8"/>
  <c r="P281" i="8"/>
  <c r="J281" i="8"/>
  <c r="BE281" i="8" s="1"/>
  <c r="BK280" i="8"/>
  <c r="BI280" i="8"/>
  <c r="BH280" i="8"/>
  <c r="BG280" i="8"/>
  <c r="BF280" i="8"/>
  <c r="T280" i="8"/>
  <c r="R280" i="8"/>
  <c r="P280" i="8"/>
  <c r="J280" i="8"/>
  <c r="BE280" i="8" s="1"/>
  <c r="BK279" i="8"/>
  <c r="BI279" i="8"/>
  <c r="BH279" i="8"/>
  <c r="BG279" i="8"/>
  <c r="BF279" i="8"/>
  <c r="T279" i="8"/>
  <c r="R279" i="8"/>
  <c r="P279" i="8"/>
  <c r="J279" i="8"/>
  <c r="BE279" i="8" s="1"/>
  <c r="BK278" i="8"/>
  <c r="BI278" i="8"/>
  <c r="BH278" i="8"/>
  <c r="BG278" i="8"/>
  <c r="BF278" i="8"/>
  <c r="T278" i="8"/>
  <c r="R278" i="8"/>
  <c r="P278" i="8"/>
  <c r="J278" i="8"/>
  <c r="BE278" i="8" s="1"/>
  <c r="BK277" i="8"/>
  <c r="BI277" i="8"/>
  <c r="BH277" i="8"/>
  <c r="BG277" i="8"/>
  <c r="BF277" i="8"/>
  <c r="T277" i="8"/>
  <c r="R277" i="8"/>
  <c r="P277" i="8"/>
  <c r="J277" i="8"/>
  <c r="BE277" i="8" s="1"/>
  <c r="BK276" i="8"/>
  <c r="BI276" i="8"/>
  <c r="BH276" i="8"/>
  <c r="BG276" i="8"/>
  <c r="BF276" i="8"/>
  <c r="T276" i="8"/>
  <c r="R276" i="8"/>
  <c r="P276" i="8"/>
  <c r="J276" i="8"/>
  <c r="BE276" i="8" s="1"/>
  <c r="BK275" i="8"/>
  <c r="BI275" i="8"/>
  <c r="BH275" i="8"/>
  <c r="BG275" i="8"/>
  <c r="BF275" i="8"/>
  <c r="T275" i="8"/>
  <c r="R275" i="8"/>
  <c r="P275" i="8"/>
  <c r="J275" i="8"/>
  <c r="BE275" i="8" s="1"/>
  <c r="BK274" i="8"/>
  <c r="BI274" i="8"/>
  <c r="BH274" i="8"/>
  <c r="BG274" i="8"/>
  <c r="BF274" i="8"/>
  <c r="T274" i="8"/>
  <c r="R274" i="8"/>
  <c r="P274" i="8"/>
  <c r="J274" i="8"/>
  <c r="BE274" i="8" s="1"/>
  <c r="BK273" i="8"/>
  <c r="BI273" i="8"/>
  <c r="BH273" i="8"/>
  <c r="BG273" i="8"/>
  <c r="BF273" i="8"/>
  <c r="T273" i="8"/>
  <c r="R273" i="8"/>
  <c r="P273" i="8"/>
  <c r="J273" i="8"/>
  <c r="BE273" i="8" s="1"/>
  <c r="BK272" i="8"/>
  <c r="BI272" i="8"/>
  <c r="BH272" i="8"/>
  <c r="BG272" i="8"/>
  <c r="BF272" i="8"/>
  <c r="T272" i="8"/>
  <c r="R272" i="8"/>
  <c r="P272" i="8"/>
  <c r="J272" i="8"/>
  <c r="BE272" i="8" s="1"/>
  <c r="BK271" i="8"/>
  <c r="BI271" i="8"/>
  <c r="BH271" i="8"/>
  <c r="BG271" i="8"/>
  <c r="BF271" i="8"/>
  <c r="T271" i="8"/>
  <c r="R271" i="8"/>
  <c r="P271" i="8"/>
  <c r="J271" i="8"/>
  <c r="BE271" i="8" s="1"/>
  <c r="BK270" i="8"/>
  <c r="BI270" i="8"/>
  <c r="BH270" i="8"/>
  <c r="BG270" i="8"/>
  <c r="BF270" i="8"/>
  <c r="T270" i="8"/>
  <c r="R270" i="8"/>
  <c r="P270" i="8"/>
  <c r="J270" i="8"/>
  <c r="BE270" i="8" s="1"/>
  <c r="BK269" i="8"/>
  <c r="BI269" i="8"/>
  <c r="BH269" i="8"/>
  <c r="BG269" i="8"/>
  <c r="BF269" i="8"/>
  <c r="T269" i="8"/>
  <c r="R269" i="8"/>
  <c r="P269" i="8"/>
  <c r="J269" i="8"/>
  <c r="BE269" i="8" s="1"/>
  <c r="BK268" i="8"/>
  <c r="BI268" i="8"/>
  <c r="BH268" i="8"/>
  <c r="BG268" i="8"/>
  <c r="BF268" i="8"/>
  <c r="T268" i="8"/>
  <c r="R268" i="8"/>
  <c r="P268" i="8"/>
  <c r="J268" i="8"/>
  <c r="BE268" i="8" s="1"/>
  <c r="BK267" i="8"/>
  <c r="BI267" i="8"/>
  <c r="BH267" i="8"/>
  <c r="BG267" i="8"/>
  <c r="BF267" i="8"/>
  <c r="BE267" i="8"/>
  <c r="T267" i="8"/>
  <c r="R267" i="8"/>
  <c r="P267" i="8"/>
  <c r="J267" i="8"/>
  <c r="BK266" i="8"/>
  <c r="BI266" i="8"/>
  <c r="BH266" i="8"/>
  <c r="BG266" i="8"/>
  <c r="BF266" i="8"/>
  <c r="T266" i="8"/>
  <c r="R266" i="8"/>
  <c r="P266" i="8"/>
  <c r="J266" i="8"/>
  <c r="BE266" i="8" s="1"/>
  <c r="BK265" i="8"/>
  <c r="BI265" i="8"/>
  <c r="BH265" i="8"/>
  <c r="BG265" i="8"/>
  <c r="BF265" i="8"/>
  <c r="T265" i="8"/>
  <c r="R265" i="8"/>
  <c r="P265" i="8"/>
  <c r="J265" i="8"/>
  <c r="BE265" i="8" s="1"/>
  <c r="BK264" i="8"/>
  <c r="BI264" i="8"/>
  <c r="BH264" i="8"/>
  <c r="BG264" i="8"/>
  <c r="BF264" i="8"/>
  <c r="T264" i="8"/>
  <c r="R264" i="8"/>
  <c r="P264" i="8"/>
  <c r="J264" i="8"/>
  <c r="BE264" i="8" s="1"/>
  <c r="BK263" i="8"/>
  <c r="BI263" i="8"/>
  <c r="BH263" i="8"/>
  <c r="BG263" i="8"/>
  <c r="BF263" i="8"/>
  <c r="T263" i="8"/>
  <c r="R263" i="8"/>
  <c r="P263" i="8"/>
  <c r="J263" i="8"/>
  <c r="BE263" i="8" s="1"/>
  <c r="BK262" i="8"/>
  <c r="BI262" i="8"/>
  <c r="BH262" i="8"/>
  <c r="BG262" i="8"/>
  <c r="BF262" i="8"/>
  <c r="T262" i="8"/>
  <c r="R262" i="8"/>
  <c r="P262" i="8"/>
  <c r="J262" i="8"/>
  <c r="BE262" i="8" s="1"/>
  <c r="BK261" i="8"/>
  <c r="BI261" i="8"/>
  <c r="BH261" i="8"/>
  <c r="BG261" i="8"/>
  <c r="BF261" i="8"/>
  <c r="T261" i="8"/>
  <c r="R261" i="8"/>
  <c r="P261" i="8"/>
  <c r="J261" i="8"/>
  <c r="BE261" i="8" s="1"/>
  <c r="BK260" i="8"/>
  <c r="BI260" i="8"/>
  <c r="BH260" i="8"/>
  <c r="BG260" i="8"/>
  <c r="BF260" i="8"/>
  <c r="T260" i="8"/>
  <c r="R260" i="8"/>
  <c r="P260" i="8"/>
  <c r="J260" i="8"/>
  <c r="BE260" i="8" s="1"/>
  <c r="BK259" i="8"/>
  <c r="BI259" i="8"/>
  <c r="BH259" i="8"/>
  <c r="BG259" i="8"/>
  <c r="BF259" i="8"/>
  <c r="T259" i="8"/>
  <c r="R259" i="8"/>
  <c r="P259" i="8"/>
  <c r="J259" i="8"/>
  <c r="BE259" i="8" s="1"/>
  <c r="BK258" i="8"/>
  <c r="BI258" i="8"/>
  <c r="BH258" i="8"/>
  <c r="BG258" i="8"/>
  <c r="BF258" i="8"/>
  <c r="T258" i="8"/>
  <c r="R258" i="8"/>
  <c r="P258" i="8"/>
  <c r="J258" i="8"/>
  <c r="BE258" i="8" s="1"/>
  <c r="BK257" i="8"/>
  <c r="BI257" i="8"/>
  <c r="BH257" i="8"/>
  <c r="BG257" i="8"/>
  <c r="BF257" i="8"/>
  <c r="T257" i="8"/>
  <c r="R257" i="8"/>
  <c r="P257" i="8"/>
  <c r="J257" i="8"/>
  <c r="BE257" i="8" s="1"/>
  <c r="BK256" i="8"/>
  <c r="BI256" i="8"/>
  <c r="BH256" i="8"/>
  <c r="BG256" i="8"/>
  <c r="BF256" i="8"/>
  <c r="T256" i="8"/>
  <c r="R256" i="8"/>
  <c r="P256" i="8"/>
  <c r="J256" i="8"/>
  <c r="BE256" i="8" s="1"/>
  <c r="BK255" i="8"/>
  <c r="BI255" i="8"/>
  <c r="BH255" i="8"/>
  <c r="BG255" i="8"/>
  <c r="BF255" i="8"/>
  <c r="BE255" i="8"/>
  <c r="T255" i="8"/>
  <c r="R255" i="8"/>
  <c r="P255" i="8"/>
  <c r="J255" i="8"/>
  <c r="BK254" i="8"/>
  <c r="BI254" i="8"/>
  <c r="BH254" i="8"/>
  <c r="BG254" i="8"/>
  <c r="BF254" i="8"/>
  <c r="T254" i="8"/>
  <c r="R254" i="8"/>
  <c r="P254" i="8"/>
  <c r="J254" i="8"/>
  <c r="BE254" i="8" s="1"/>
  <c r="BK253" i="8"/>
  <c r="BI253" i="8"/>
  <c r="BH253" i="8"/>
  <c r="BG253" i="8"/>
  <c r="BF253" i="8"/>
  <c r="T253" i="8"/>
  <c r="R253" i="8"/>
  <c r="P253" i="8"/>
  <c r="J253" i="8"/>
  <c r="BE253" i="8" s="1"/>
  <c r="BK252" i="8"/>
  <c r="BI252" i="8"/>
  <c r="BH252" i="8"/>
  <c r="BG252" i="8"/>
  <c r="BF252" i="8"/>
  <c r="T252" i="8"/>
  <c r="R252" i="8"/>
  <c r="P252" i="8"/>
  <c r="J252" i="8"/>
  <c r="BE252" i="8" s="1"/>
  <c r="BK251" i="8"/>
  <c r="BI251" i="8"/>
  <c r="BH251" i="8"/>
  <c r="BG251" i="8"/>
  <c r="BF251" i="8"/>
  <c r="BE251" i="8"/>
  <c r="T251" i="8"/>
  <c r="R251" i="8"/>
  <c r="P251" i="8"/>
  <c r="J251" i="8"/>
  <c r="BK250" i="8"/>
  <c r="BI250" i="8"/>
  <c r="BH250" i="8"/>
  <c r="BG250" i="8"/>
  <c r="BF250" i="8"/>
  <c r="BE250" i="8"/>
  <c r="T250" i="8"/>
  <c r="R250" i="8"/>
  <c r="P250" i="8"/>
  <c r="J250" i="8"/>
  <c r="BK249" i="8"/>
  <c r="BI249" i="8"/>
  <c r="BH249" i="8"/>
  <c r="BG249" i="8"/>
  <c r="BF249" i="8"/>
  <c r="T249" i="8"/>
  <c r="R249" i="8"/>
  <c r="P249" i="8"/>
  <c r="J249" i="8"/>
  <c r="BE249" i="8" s="1"/>
  <c r="BK248" i="8"/>
  <c r="BI248" i="8"/>
  <c r="BH248" i="8"/>
  <c r="BG248" i="8"/>
  <c r="BF248" i="8"/>
  <c r="T248" i="8"/>
  <c r="R248" i="8"/>
  <c r="P248" i="8"/>
  <c r="J248" i="8"/>
  <c r="BE248" i="8" s="1"/>
  <c r="BK247" i="8"/>
  <c r="BI247" i="8"/>
  <c r="BH247" i="8"/>
  <c r="BG247" i="8"/>
  <c r="BF247" i="8"/>
  <c r="T247" i="8"/>
  <c r="R247" i="8"/>
  <c r="P247" i="8"/>
  <c r="J247" i="8"/>
  <c r="BE247" i="8" s="1"/>
  <c r="BK246" i="8"/>
  <c r="BI246" i="8"/>
  <c r="BH246" i="8"/>
  <c r="BG246" i="8"/>
  <c r="BF246" i="8"/>
  <c r="BE246" i="8"/>
  <c r="T246" i="8"/>
  <c r="R246" i="8"/>
  <c r="P246" i="8"/>
  <c r="J246" i="8"/>
  <c r="BK245" i="8"/>
  <c r="BI245" i="8"/>
  <c r="BH245" i="8"/>
  <c r="BG245" i="8"/>
  <c r="BF245" i="8"/>
  <c r="T245" i="8"/>
  <c r="R245" i="8"/>
  <c r="P245" i="8"/>
  <c r="J245" i="8"/>
  <c r="BE245" i="8" s="1"/>
  <c r="BK244" i="8"/>
  <c r="BI244" i="8"/>
  <c r="BH244" i="8"/>
  <c r="BG244" i="8"/>
  <c r="BF244" i="8"/>
  <c r="T244" i="8"/>
  <c r="R244" i="8"/>
  <c r="P244" i="8"/>
  <c r="J244" i="8"/>
  <c r="BE244" i="8" s="1"/>
  <c r="BK243" i="8"/>
  <c r="BI243" i="8"/>
  <c r="BH243" i="8"/>
  <c r="BG243" i="8"/>
  <c r="BF243" i="8"/>
  <c r="T243" i="8"/>
  <c r="R243" i="8"/>
  <c r="P243" i="8"/>
  <c r="J243" i="8"/>
  <c r="BE243" i="8" s="1"/>
  <c r="BK242" i="8"/>
  <c r="BI242" i="8"/>
  <c r="BH242" i="8"/>
  <c r="BG242" i="8"/>
  <c r="BF242" i="8"/>
  <c r="T242" i="8"/>
  <c r="R242" i="8"/>
  <c r="P242" i="8"/>
  <c r="J242" i="8"/>
  <c r="BE242" i="8" s="1"/>
  <c r="BK241" i="8"/>
  <c r="BI241" i="8"/>
  <c r="BH241" i="8"/>
  <c r="BG241" i="8"/>
  <c r="BF241" i="8"/>
  <c r="T241" i="8"/>
  <c r="R241" i="8"/>
  <c r="P241" i="8"/>
  <c r="J241" i="8"/>
  <c r="BE241" i="8" s="1"/>
  <c r="BK240" i="8"/>
  <c r="BI240" i="8"/>
  <c r="BH240" i="8"/>
  <c r="BG240" i="8"/>
  <c r="BF240" i="8"/>
  <c r="T240" i="8"/>
  <c r="R240" i="8"/>
  <c r="P240" i="8"/>
  <c r="J240" i="8"/>
  <c r="BE240" i="8" s="1"/>
  <c r="BK239" i="8"/>
  <c r="BI239" i="8"/>
  <c r="BH239" i="8"/>
  <c r="BG239" i="8"/>
  <c r="BF239" i="8"/>
  <c r="T239" i="8"/>
  <c r="R239" i="8"/>
  <c r="P239" i="8"/>
  <c r="J239" i="8"/>
  <c r="BE239" i="8" s="1"/>
  <c r="BK238" i="8"/>
  <c r="BI238" i="8"/>
  <c r="BH238" i="8"/>
  <c r="BG238" i="8"/>
  <c r="BF238" i="8"/>
  <c r="T238" i="8"/>
  <c r="R238" i="8"/>
  <c r="P238" i="8"/>
  <c r="J238" i="8"/>
  <c r="BE238" i="8" s="1"/>
  <c r="BK237" i="8"/>
  <c r="BI237" i="8"/>
  <c r="BH237" i="8"/>
  <c r="BG237" i="8"/>
  <c r="BF237" i="8"/>
  <c r="T237" i="8"/>
  <c r="R237" i="8"/>
  <c r="P237" i="8"/>
  <c r="J237" i="8"/>
  <c r="BE237" i="8" s="1"/>
  <c r="BK236" i="8"/>
  <c r="BI236" i="8"/>
  <c r="BH236" i="8"/>
  <c r="BG236" i="8"/>
  <c r="BF236" i="8"/>
  <c r="T236" i="8"/>
  <c r="R236" i="8"/>
  <c r="P236" i="8"/>
  <c r="J236" i="8"/>
  <c r="BE236" i="8" s="1"/>
  <c r="BK235" i="8"/>
  <c r="BI235" i="8"/>
  <c r="BH235" i="8"/>
  <c r="BG235" i="8"/>
  <c r="BF235" i="8"/>
  <c r="T235" i="8"/>
  <c r="R235" i="8"/>
  <c r="P235" i="8"/>
  <c r="J235" i="8"/>
  <c r="BE235" i="8" s="1"/>
  <c r="BK234" i="8"/>
  <c r="BI234" i="8"/>
  <c r="BH234" i="8"/>
  <c r="BG234" i="8"/>
  <c r="BF234" i="8"/>
  <c r="T234" i="8"/>
  <c r="R234" i="8"/>
  <c r="P234" i="8"/>
  <c r="J234" i="8"/>
  <c r="BE234" i="8" s="1"/>
  <c r="BK233" i="8"/>
  <c r="BI233" i="8"/>
  <c r="BH233" i="8"/>
  <c r="BG233" i="8"/>
  <c r="BF233" i="8"/>
  <c r="T233" i="8"/>
  <c r="R233" i="8"/>
  <c r="P233" i="8"/>
  <c r="J233" i="8"/>
  <c r="BE233" i="8" s="1"/>
  <c r="BK232" i="8"/>
  <c r="BI232" i="8"/>
  <c r="BH232" i="8"/>
  <c r="BG232" i="8"/>
  <c r="BF232" i="8"/>
  <c r="T232" i="8"/>
  <c r="R232" i="8"/>
  <c r="P232" i="8"/>
  <c r="J232" i="8"/>
  <c r="BE232" i="8" s="1"/>
  <c r="BK231" i="8"/>
  <c r="BI231" i="8"/>
  <c r="BH231" i="8"/>
  <c r="BG231" i="8"/>
  <c r="BF231" i="8"/>
  <c r="T231" i="8"/>
  <c r="R231" i="8"/>
  <c r="P231" i="8"/>
  <c r="J231" i="8"/>
  <c r="BE231" i="8" s="1"/>
  <c r="BK230" i="8"/>
  <c r="BI230" i="8"/>
  <c r="BH230" i="8"/>
  <c r="BG230" i="8"/>
  <c r="BF230" i="8"/>
  <c r="T230" i="8"/>
  <c r="R230" i="8"/>
  <c r="P230" i="8"/>
  <c r="J230" i="8"/>
  <c r="BE230" i="8" s="1"/>
  <c r="BK229" i="8"/>
  <c r="BI229" i="8"/>
  <c r="BH229" i="8"/>
  <c r="BG229" i="8"/>
  <c r="BF229" i="8"/>
  <c r="T229" i="8"/>
  <c r="R229" i="8"/>
  <c r="P229" i="8"/>
  <c r="J229" i="8"/>
  <c r="BE229" i="8" s="1"/>
  <c r="BK228" i="8"/>
  <c r="BI228" i="8"/>
  <c r="BH228" i="8"/>
  <c r="BG228" i="8"/>
  <c r="BF228" i="8"/>
  <c r="T228" i="8"/>
  <c r="R228" i="8"/>
  <c r="P228" i="8"/>
  <c r="J228" i="8"/>
  <c r="BE228" i="8" s="1"/>
  <c r="BK227" i="8"/>
  <c r="BI227" i="8"/>
  <c r="BH227" i="8"/>
  <c r="BG227" i="8"/>
  <c r="BF227" i="8"/>
  <c r="T227" i="8"/>
  <c r="R227" i="8"/>
  <c r="P227" i="8"/>
  <c r="J227" i="8"/>
  <c r="BE227" i="8" s="1"/>
  <c r="BK226" i="8"/>
  <c r="BI226" i="8"/>
  <c r="BH226" i="8"/>
  <c r="BG226" i="8"/>
  <c r="BF226" i="8"/>
  <c r="T226" i="8"/>
  <c r="R226" i="8"/>
  <c r="P226" i="8"/>
  <c r="J226" i="8"/>
  <c r="BE226" i="8" s="1"/>
  <c r="BK225" i="8"/>
  <c r="BI225" i="8"/>
  <c r="BH225" i="8"/>
  <c r="BG225" i="8"/>
  <c r="BF225" i="8"/>
  <c r="T225" i="8"/>
  <c r="R225" i="8"/>
  <c r="P225" i="8"/>
  <c r="J225" i="8"/>
  <c r="BE225" i="8" s="1"/>
  <c r="BK224" i="8"/>
  <c r="BI224" i="8"/>
  <c r="BH224" i="8"/>
  <c r="BG224" i="8"/>
  <c r="BF224" i="8"/>
  <c r="T224" i="8"/>
  <c r="R224" i="8"/>
  <c r="P224" i="8"/>
  <c r="J224" i="8"/>
  <c r="BE224" i="8" s="1"/>
  <c r="BK223" i="8"/>
  <c r="BI223" i="8"/>
  <c r="BH223" i="8"/>
  <c r="BG223" i="8"/>
  <c r="BF223" i="8"/>
  <c r="T223" i="8"/>
  <c r="R223" i="8"/>
  <c r="P223" i="8"/>
  <c r="J223" i="8"/>
  <c r="BE223" i="8" s="1"/>
  <c r="BK222" i="8"/>
  <c r="BI222" i="8"/>
  <c r="BH222" i="8"/>
  <c r="BG222" i="8"/>
  <c r="BF222" i="8"/>
  <c r="T222" i="8"/>
  <c r="R222" i="8"/>
  <c r="P222" i="8"/>
  <c r="J222" i="8"/>
  <c r="BE222" i="8" s="1"/>
  <c r="BK221" i="8"/>
  <c r="BI221" i="8"/>
  <c r="BH221" i="8"/>
  <c r="BG221" i="8"/>
  <c r="BF221" i="8"/>
  <c r="T221" i="8"/>
  <c r="R221" i="8"/>
  <c r="P221" i="8"/>
  <c r="J221" i="8"/>
  <c r="BE221" i="8" s="1"/>
  <c r="BK220" i="8"/>
  <c r="BI220" i="8"/>
  <c r="BH220" i="8"/>
  <c r="BG220" i="8"/>
  <c r="BF220" i="8"/>
  <c r="T220" i="8"/>
  <c r="R220" i="8"/>
  <c r="P220" i="8"/>
  <c r="J220" i="8"/>
  <c r="BE220" i="8" s="1"/>
  <c r="BK219" i="8"/>
  <c r="BI219" i="8"/>
  <c r="BH219" i="8"/>
  <c r="BG219" i="8"/>
  <c r="BF219" i="8"/>
  <c r="T219" i="8"/>
  <c r="R219" i="8"/>
  <c r="P219" i="8"/>
  <c r="J219" i="8"/>
  <c r="BE219" i="8" s="1"/>
  <c r="BK218" i="8"/>
  <c r="BI218" i="8"/>
  <c r="BH218" i="8"/>
  <c r="BG218" i="8"/>
  <c r="BF218" i="8"/>
  <c r="T218" i="8"/>
  <c r="R218" i="8"/>
  <c r="P218" i="8"/>
  <c r="J218" i="8"/>
  <c r="BE218" i="8" s="1"/>
  <c r="BK217" i="8"/>
  <c r="BI217" i="8"/>
  <c r="BH217" i="8"/>
  <c r="BG217" i="8"/>
  <c r="BF217" i="8"/>
  <c r="T217" i="8"/>
  <c r="R217" i="8"/>
  <c r="P217" i="8"/>
  <c r="J217" i="8"/>
  <c r="BE217" i="8" s="1"/>
  <c r="BK216" i="8"/>
  <c r="BI216" i="8"/>
  <c r="BH216" i="8"/>
  <c r="BG216" i="8"/>
  <c r="BF216" i="8"/>
  <c r="T216" i="8"/>
  <c r="R216" i="8"/>
  <c r="P216" i="8"/>
  <c r="J216" i="8"/>
  <c r="BE216" i="8" s="1"/>
  <c r="BK215" i="8"/>
  <c r="BI215" i="8"/>
  <c r="BH215" i="8"/>
  <c r="BG215" i="8"/>
  <c r="BF215" i="8"/>
  <c r="T215" i="8"/>
  <c r="R215" i="8"/>
  <c r="P215" i="8"/>
  <c r="J215" i="8"/>
  <c r="BE215" i="8" s="1"/>
  <c r="BK214" i="8"/>
  <c r="BI214" i="8"/>
  <c r="BH214" i="8"/>
  <c r="BG214" i="8"/>
  <c r="BF214" i="8"/>
  <c r="T214" i="8"/>
  <c r="R214" i="8"/>
  <c r="P214" i="8"/>
  <c r="J214" i="8"/>
  <c r="BE214" i="8" s="1"/>
  <c r="BK213" i="8"/>
  <c r="BI213" i="8"/>
  <c r="BH213" i="8"/>
  <c r="BG213" i="8"/>
  <c r="BF213" i="8"/>
  <c r="T213" i="8"/>
  <c r="R213" i="8"/>
  <c r="P213" i="8"/>
  <c r="J213" i="8"/>
  <c r="BE213" i="8" s="1"/>
  <c r="BK212" i="8"/>
  <c r="BI212" i="8"/>
  <c r="BH212" i="8"/>
  <c r="BG212" i="8"/>
  <c r="BF212" i="8"/>
  <c r="T212" i="8"/>
  <c r="R212" i="8"/>
  <c r="P212" i="8"/>
  <c r="J212" i="8"/>
  <c r="BE212" i="8" s="1"/>
  <c r="BK211" i="8"/>
  <c r="BI211" i="8"/>
  <c r="BH211" i="8"/>
  <c r="BG211" i="8"/>
  <c r="BF211" i="8"/>
  <c r="BE211" i="8"/>
  <c r="T211" i="8"/>
  <c r="R211" i="8"/>
  <c r="P211" i="8"/>
  <c r="J211" i="8"/>
  <c r="BK210" i="8"/>
  <c r="BI210" i="8"/>
  <c r="BH210" i="8"/>
  <c r="BG210" i="8"/>
  <c r="BF210" i="8"/>
  <c r="T210" i="8"/>
  <c r="R210" i="8"/>
  <c r="P210" i="8"/>
  <c r="J210" i="8"/>
  <c r="BE210" i="8" s="1"/>
  <c r="BK209" i="8"/>
  <c r="BI209" i="8"/>
  <c r="BH209" i="8"/>
  <c r="BG209" i="8"/>
  <c r="BF209" i="8"/>
  <c r="T209" i="8"/>
  <c r="R209" i="8"/>
  <c r="P209" i="8"/>
  <c r="J209" i="8"/>
  <c r="BE209" i="8" s="1"/>
  <c r="BK208" i="8"/>
  <c r="BI208" i="8"/>
  <c r="BH208" i="8"/>
  <c r="BG208" i="8"/>
  <c r="BF208" i="8"/>
  <c r="T208" i="8"/>
  <c r="R208" i="8"/>
  <c r="P208" i="8"/>
  <c r="J208" i="8"/>
  <c r="BE208" i="8" s="1"/>
  <c r="BK207" i="8"/>
  <c r="BI207" i="8"/>
  <c r="BH207" i="8"/>
  <c r="BG207" i="8"/>
  <c r="BF207" i="8"/>
  <c r="T207" i="8"/>
  <c r="R207" i="8"/>
  <c r="P207" i="8"/>
  <c r="J207" i="8"/>
  <c r="BE207" i="8" s="1"/>
  <c r="BK206" i="8"/>
  <c r="BI206" i="8"/>
  <c r="BH206" i="8"/>
  <c r="BG206" i="8"/>
  <c r="BF206" i="8"/>
  <c r="BE206" i="8"/>
  <c r="T206" i="8"/>
  <c r="R206" i="8"/>
  <c r="P206" i="8"/>
  <c r="J206" i="8"/>
  <c r="BK205" i="8"/>
  <c r="BI205" i="8"/>
  <c r="BH205" i="8"/>
  <c r="BG205" i="8"/>
  <c r="BF205" i="8"/>
  <c r="T205" i="8"/>
  <c r="R205" i="8"/>
  <c r="P205" i="8"/>
  <c r="J205" i="8"/>
  <c r="BE205" i="8" s="1"/>
  <c r="BK204" i="8"/>
  <c r="BI204" i="8"/>
  <c r="BH204" i="8"/>
  <c r="BG204" i="8"/>
  <c r="BF204" i="8"/>
  <c r="T204" i="8"/>
  <c r="R204" i="8"/>
  <c r="P204" i="8"/>
  <c r="J204" i="8"/>
  <c r="BE204" i="8" s="1"/>
  <c r="BK203" i="8"/>
  <c r="BI203" i="8"/>
  <c r="BH203" i="8"/>
  <c r="BG203" i="8"/>
  <c r="BF203" i="8"/>
  <c r="T203" i="8"/>
  <c r="R203" i="8"/>
  <c r="P203" i="8"/>
  <c r="J203" i="8"/>
  <c r="BE203" i="8" s="1"/>
  <c r="BK202" i="8"/>
  <c r="BI202" i="8"/>
  <c r="BH202" i="8"/>
  <c r="BG202" i="8"/>
  <c r="BF202" i="8"/>
  <c r="T202" i="8"/>
  <c r="R202" i="8"/>
  <c r="P202" i="8"/>
  <c r="J202" i="8"/>
  <c r="BE202" i="8" s="1"/>
  <c r="BK201" i="8"/>
  <c r="BI201" i="8"/>
  <c r="BH201" i="8"/>
  <c r="BG201" i="8"/>
  <c r="BF201" i="8"/>
  <c r="T201" i="8"/>
  <c r="R201" i="8"/>
  <c r="P201" i="8"/>
  <c r="J201" i="8"/>
  <c r="BE201" i="8" s="1"/>
  <c r="BK200" i="8"/>
  <c r="BI200" i="8"/>
  <c r="BH200" i="8"/>
  <c r="BG200" i="8"/>
  <c r="BF200" i="8"/>
  <c r="T200" i="8"/>
  <c r="R200" i="8"/>
  <c r="P200" i="8"/>
  <c r="J200" i="8"/>
  <c r="BE200" i="8" s="1"/>
  <c r="BK197" i="8"/>
  <c r="BI197" i="8"/>
  <c r="BH197" i="8"/>
  <c r="BG197" i="8"/>
  <c r="BF197" i="8"/>
  <c r="T197" i="8"/>
  <c r="R197" i="8"/>
  <c r="P197" i="8"/>
  <c r="J197" i="8"/>
  <c r="BE197" i="8" s="1"/>
  <c r="BK196" i="8"/>
  <c r="BI196" i="8"/>
  <c r="BH196" i="8"/>
  <c r="BG196" i="8"/>
  <c r="BF196" i="8"/>
  <c r="T196" i="8"/>
  <c r="R196" i="8"/>
  <c r="P196" i="8"/>
  <c r="J196" i="8"/>
  <c r="BE196" i="8" s="1"/>
  <c r="BK195" i="8"/>
  <c r="BI195" i="8"/>
  <c r="BH195" i="8"/>
  <c r="BG195" i="8"/>
  <c r="BF195" i="8"/>
  <c r="T195" i="8"/>
  <c r="R195" i="8"/>
  <c r="P195" i="8"/>
  <c r="J195" i="8"/>
  <c r="BE195" i="8" s="1"/>
  <c r="BK193" i="8"/>
  <c r="BI193" i="8"/>
  <c r="BH193" i="8"/>
  <c r="BG193" i="8"/>
  <c r="BF193" i="8"/>
  <c r="T193" i="8"/>
  <c r="R193" i="8"/>
  <c r="P193" i="8"/>
  <c r="J193" i="8"/>
  <c r="BE193" i="8" s="1"/>
  <c r="BK192" i="8"/>
  <c r="BI192" i="8"/>
  <c r="BH192" i="8"/>
  <c r="BG192" i="8"/>
  <c r="BF192" i="8"/>
  <c r="T192" i="8"/>
  <c r="R192" i="8"/>
  <c r="P192" i="8"/>
  <c r="J192" i="8"/>
  <c r="BE192" i="8" s="1"/>
  <c r="R191" i="8"/>
  <c r="BK190" i="8"/>
  <c r="BI190" i="8"/>
  <c r="BH190" i="8"/>
  <c r="BG190" i="8"/>
  <c r="BF190" i="8"/>
  <c r="T190" i="8"/>
  <c r="R190" i="8"/>
  <c r="P190" i="8"/>
  <c r="J190" i="8"/>
  <c r="BE190" i="8" s="1"/>
  <c r="BK189" i="8"/>
  <c r="BI189" i="8"/>
  <c r="BH189" i="8"/>
  <c r="BG189" i="8"/>
  <c r="BF189" i="8"/>
  <c r="T189" i="8"/>
  <c r="R189" i="8"/>
  <c r="P189" i="8"/>
  <c r="J189" i="8"/>
  <c r="BE189" i="8" s="1"/>
  <c r="BK188" i="8"/>
  <c r="BI188" i="8"/>
  <c r="BH188" i="8"/>
  <c r="BG188" i="8"/>
  <c r="BF188" i="8"/>
  <c r="T188" i="8"/>
  <c r="R188" i="8"/>
  <c r="P188" i="8"/>
  <c r="J188" i="8"/>
  <c r="BE188" i="8" s="1"/>
  <c r="BK187" i="8"/>
  <c r="BI187" i="8"/>
  <c r="BH187" i="8"/>
  <c r="BG187" i="8"/>
  <c r="BF187" i="8"/>
  <c r="T187" i="8"/>
  <c r="R187" i="8"/>
  <c r="P187" i="8"/>
  <c r="J187" i="8"/>
  <c r="BE187" i="8" s="1"/>
  <c r="BK186" i="8"/>
  <c r="BI186" i="8"/>
  <c r="BH186" i="8"/>
  <c r="BG186" i="8"/>
  <c r="BF186" i="8"/>
  <c r="T186" i="8"/>
  <c r="R186" i="8"/>
  <c r="P186" i="8"/>
  <c r="J186" i="8"/>
  <c r="BE186" i="8" s="1"/>
  <c r="BK185" i="8"/>
  <c r="BI185" i="8"/>
  <c r="BH185" i="8"/>
  <c r="BG185" i="8"/>
  <c r="BF185" i="8"/>
  <c r="T185" i="8"/>
  <c r="T184" i="8" s="1"/>
  <c r="R185" i="8"/>
  <c r="P185" i="8"/>
  <c r="J185" i="8"/>
  <c r="BE185" i="8" s="1"/>
  <c r="BK183" i="8"/>
  <c r="BI183" i="8"/>
  <c r="BH183" i="8"/>
  <c r="BG183" i="8"/>
  <c r="BF183" i="8"/>
  <c r="BE183" i="8"/>
  <c r="T183" i="8"/>
  <c r="R183" i="8"/>
  <c r="P183" i="8"/>
  <c r="J183" i="8"/>
  <c r="BK182" i="8"/>
  <c r="BI182" i="8"/>
  <c r="BH182" i="8"/>
  <c r="BG182" i="8"/>
  <c r="BF182" i="8"/>
  <c r="T182" i="8"/>
  <c r="R182" i="8"/>
  <c r="P182" i="8"/>
  <c r="J182" i="8"/>
  <c r="BE182" i="8" s="1"/>
  <c r="BK181" i="8"/>
  <c r="BI181" i="8"/>
  <c r="BH181" i="8"/>
  <c r="BG181" i="8"/>
  <c r="BF181" i="8"/>
  <c r="T181" i="8"/>
  <c r="R181" i="8"/>
  <c r="P181" i="8"/>
  <c r="J181" i="8"/>
  <c r="BE181" i="8" s="1"/>
  <c r="BK180" i="8"/>
  <c r="BK179" i="8" s="1"/>
  <c r="J179" i="8" s="1"/>
  <c r="J100" i="8" s="1"/>
  <c r="BI180" i="8"/>
  <c r="BH180" i="8"/>
  <c r="BG180" i="8"/>
  <c r="BF180" i="8"/>
  <c r="T180" i="8"/>
  <c r="R180" i="8"/>
  <c r="P180" i="8"/>
  <c r="J180" i="8"/>
  <c r="BE180" i="8" s="1"/>
  <c r="BK178" i="8"/>
  <c r="BI178" i="8"/>
  <c r="BH178" i="8"/>
  <c r="BG178" i="8"/>
  <c r="BF178" i="8"/>
  <c r="T178" i="8"/>
  <c r="R178" i="8"/>
  <c r="P178" i="8"/>
  <c r="J178" i="8"/>
  <c r="BE178" i="8" s="1"/>
  <c r="BK177" i="8"/>
  <c r="BI177" i="8"/>
  <c r="BH177" i="8"/>
  <c r="BG177" i="8"/>
  <c r="BF177" i="8"/>
  <c r="T177" i="8"/>
  <c r="R177" i="8"/>
  <c r="P177" i="8"/>
  <c r="J177" i="8"/>
  <c r="BE177" i="8" s="1"/>
  <c r="BK176" i="8"/>
  <c r="BI176" i="8"/>
  <c r="BH176" i="8"/>
  <c r="BG176" i="8"/>
  <c r="BF176" i="8"/>
  <c r="T176" i="8"/>
  <c r="R176" i="8"/>
  <c r="P176" i="8"/>
  <c r="J176" i="8"/>
  <c r="BE176" i="8" s="1"/>
  <c r="BK175" i="8"/>
  <c r="BI175" i="8"/>
  <c r="BH175" i="8"/>
  <c r="BG175" i="8"/>
  <c r="BF175" i="8"/>
  <c r="T175" i="8"/>
  <c r="R175" i="8"/>
  <c r="P175" i="8"/>
  <c r="J175" i="8"/>
  <c r="BE175" i="8" s="1"/>
  <c r="BK174" i="8"/>
  <c r="BI174" i="8"/>
  <c r="BH174" i="8"/>
  <c r="BG174" i="8"/>
  <c r="BF174" i="8"/>
  <c r="T174" i="8"/>
  <c r="R174" i="8"/>
  <c r="P174" i="8"/>
  <c r="J174" i="8"/>
  <c r="BE174" i="8" s="1"/>
  <c r="BK173" i="8"/>
  <c r="BI173" i="8"/>
  <c r="BH173" i="8"/>
  <c r="BG173" i="8"/>
  <c r="BF173" i="8"/>
  <c r="T173" i="8"/>
  <c r="R173" i="8"/>
  <c r="P173" i="8"/>
  <c r="J173" i="8"/>
  <c r="BE173" i="8" s="1"/>
  <c r="BK172" i="8"/>
  <c r="BI172" i="8"/>
  <c r="BH172" i="8"/>
  <c r="BG172" i="8"/>
  <c r="BF172" i="8"/>
  <c r="T172" i="8"/>
  <c r="R172" i="8"/>
  <c r="P172" i="8"/>
  <c r="J172" i="8"/>
  <c r="BE172" i="8" s="1"/>
  <c r="BK171" i="8"/>
  <c r="BI171" i="8"/>
  <c r="BH171" i="8"/>
  <c r="BG171" i="8"/>
  <c r="BF171" i="8"/>
  <c r="T171" i="8"/>
  <c r="R171" i="8"/>
  <c r="P171" i="8"/>
  <c r="J171" i="8"/>
  <c r="BE171" i="8" s="1"/>
  <c r="BK170" i="8"/>
  <c r="BI170" i="8"/>
  <c r="BH170" i="8"/>
  <c r="BG170" i="8"/>
  <c r="BF170" i="8"/>
  <c r="T170" i="8"/>
  <c r="R170" i="8"/>
  <c r="P170" i="8"/>
  <c r="J170" i="8"/>
  <c r="BE170" i="8" s="1"/>
  <c r="BK169" i="8"/>
  <c r="BI169" i="8"/>
  <c r="BH169" i="8"/>
  <c r="BG169" i="8"/>
  <c r="BF169" i="8"/>
  <c r="T169" i="8"/>
  <c r="R169" i="8"/>
  <c r="P169" i="8"/>
  <c r="J169" i="8"/>
  <c r="BE169" i="8" s="1"/>
  <c r="BK168" i="8"/>
  <c r="BI168" i="8"/>
  <c r="BH168" i="8"/>
  <c r="BG168" i="8"/>
  <c r="BF168" i="8"/>
  <c r="T168" i="8"/>
  <c r="R168" i="8"/>
  <c r="P168" i="8"/>
  <c r="J168" i="8"/>
  <c r="BE168" i="8" s="1"/>
  <c r="BK167" i="8"/>
  <c r="BI167" i="8"/>
  <c r="BH167" i="8"/>
  <c r="BG167" i="8"/>
  <c r="BF167" i="8"/>
  <c r="T167" i="8"/>
  <c r="R167" i="8"/>
  <c r="P167" i="8"/>
  <c r="J167" i="8"/>
  <c r="BE167" i="8" s="1"/>
  <c r="BK166" i="8"/>
  <c r="BI166" i="8"/>
  <c r="BH166" i="8"/>
  <c r="BG166" i="8"/>
  <c r="BF166" i="8"/>
  <c r="T166" i="8"/>
  <c r="R166" i="8"/>
  <c r="P166" i="8"/>
  <c r="J166" i="8"/>
  <c r="BE166" i="8" s="1"/>
  <c r="BK165" i="8"/>
  <c r="BI165" i="8"/>
  <c r="BH165" i="8"/>
  <c r="BG165" i="8"/>
  <c r="BF165" i="8"/>
  <c r="T165" i="8"/>
  <c r="R165" i="8"/>
  <c r="P165" i="8"/>
  <c r="J165" i="8"/>
  <c r="BE165" i="8" s="1"/>
  <c r="BK164" i="8"/>
  <c r="BI164" i="8"/>
  <c r="BH164" i="8"/>
  <c r="BG164" i="8"/>
  <c r="BF164" i="8"/>
  <c r="T164" i="8"/>
  <c r="R164" i="8"/>
  <c r="P164" i="8"/>
  <c r="J164" i="8"/>
  <c r="BE164" i="8" s="1"/>
  <c r="BK163" i="8"/>
  <c r="BK162" i="8" s="1"/>
  <c r="J162" i="8" s="1"/>
  <c r="J99" i="8" s="1"/>
  <c r="BI163" i="8"/>
  <c r="BH163" i="8"/>
  <c r="BG163" i="8"/>
  <c r="BF163" i="8"/>
  <c r="T163" i="8"/>
  <c r="R163" i="8"/>
  <c r="P163" i="8"/>
  <c r="J163" i="8"/>
  <c r="BE163" i="8" s="1"/>
  <c r="BK161" i="8"/>
  <c r="BI161" i="8"/>
  <c r="BH161" i="8"/>
  <c r="BG161" i="8"/>
  <c r="BF161" i="8"/>
  <c r="T161" i="8"/>
  <c r="R161" i="8"/>
  <c r="P161" i="8"/>
  <c r="J161" i="8"/>
  <c r="BE161" i="8" s="1"/>
  <c r="BK160" i="8"/>
  <c r="BI160" i="8"/>
  <c r="BH160" i="8"/>
  <c r="BG160" i="8"/>
  <c r="BF160" i="8"/>
  <c r="T160" i="8"/>
  <c r="R160" i="8"/>
  <c r="P160" i="8"/>
  <c r="J160" i="8"/>
  <c r="BE160" i="8" s="1"/>
  <c r="BK159" i="8"/>
  <c r="BI159" i="8"/>
  <c r="BH159" i="8"/>
  <c r="BG159" i="8"/>
  <c r="BF159" i="8"/>
  <c r="T159" i="8"/>
  <c r="R159" i="8"/>
  <c r="P159" i="8"/>
  <c r="J159" i="8"/>
  <c r="BE159" i="8" s="1"/>
  <c r="BK158" i="8"/>
  <c r="BI158" i="8"/>
  <c r="BH158" i="8"/>
  <c r="BG158" i="8"/>
  <c r="BF158" i="8"/>
  <c r="T158" i="8"/>
  <c r="R158" i="8"/>
  <c r="P158" i="8"/>
  <c r="J158" i="8"/>
  <c r="BE158" i="8" s="1"/>
  <c r="BK157" i="8"/>
  <c r="BI157" i="8"/>
  <c r="BH157" i="8"/>
  <c r="BG157" i="8"/>
  <c r="BF157" i="8"/>
  <c r="T157" i="8"/>
  <c r="R157" i="8"/>
  <c r="P157" i="8"/>
  <c r="J157" i="8"/>
  <c r="BE157" i="8" s="1"/>
  <c r="BK156" i="8"/>
  <c r="BI156" i="8"/>
  <c r="BH156" i="8"/>
  <c r="BG156" i="8"/>
  <c r="BF156" i="8"/>
  <c r="T156" i="8"/>
  <c r="R156" i="8"/>
  <c r="P156" i="8"/>
  <c r="J156" i="8"/>
  <c r="BE156" i="8" s="1"/>
  <c r="BK155" i="8"/>
  <c r="BI155" i="8"/>
  <c r="BH155" i="8"/>
  <c r="BG155" i="8"/>
  <c r="BF155" i="8"/>
  <c r="T155" i="8"/>
  <c r="T154" i="8" s="1"/>
  <c r="R155" i="8"/>
  <c r="P155" i="8"/>
  <c r="J155" i="8"/>
  <c r="BE155" i="8" s="1"/>
  <c r="BK153" i="8"/>
  <c r="BI153" i="8"/>
  <c r="BH153" i="8"/>
  <c r="BG153" i="8"/>
  <c r="BF153" i="8"/>
  <c r="T153" i="8"/>
  <c r="R153" i="8"/>
  <c r="P153" i="8"/>
  <c r="J153" i="8"/>
  <c r="BE153" i="8" s="1"/>
  <c r="BK152" i="8"/>
  <c r="BI152" i="8"/>
  <c r="BH152" i="8"/>
  <c r="BG152" i="8"/>
  <c r="BF152" i="8"/>
  <c r="T152" i="8"/>
  <c r="R152" i="8"/>
  <c r="P152" i="8"/>
  <c r="J152" i="8"/>
  <c r="BE152" i="8" s="1"/>
  <c r="BK151" i="8"/>
  <c r="BI151" i="8"/>
  <c r="BH151" i="8"/>
  <c r="BG151" i="8"/>
  <c r="BF151" i="8"/>
  <c r="T151" i="8"/>
  <c r="R151" i="8"/>
  <c r="P151" i="8"/>
  <c r="J151" i="8"/>
  <c r="BE151" i="8" s="1"/>
  <c r="BK150" i="8"/>
  <c r="BI150" i="8"/>
  <c r="BH150" i="8"/>
  <c r="BG150" i="8"/>
  <c r="BF150" i="8"/>
  <c r="T150" i="8"/>
  <c r="R150" i="8"/>
  <c r="P150" i="8"/>
  <c r="J150" i="8"/>
  <c r="BE150" i="8" s="1"/>
  <c r="BK149" i="8"/>
  <c r="BI149" i="8"/>
  <c r="BH149" i="8"/>
  <c r="BG149" i="8"/>
  <c r="BF149" i="8"/>
  <c r="T149" i="8"/>
  <c r="R149" i="8"/>
  <c r="P149" i="8"/>
  <c r="J149" i="8"/>
  <c r="BE149" i="8" s="1"/>
  <c r="BK148" i="8"/>
  <c r="BI148" i="8"/>
  <c r="BH148" i="8"/>
  <c r="BG148" i="8"/>
  <c r="BF148" i="8"/>
  <c r="T148" i="8"/>
  <c r="R148" i="8"/>
  <c r="P148" i="8"/>
  <c r="J148" i="8"/>
  <c r="BE148" i="8" s="1"/>
  <c r="BK147" i="8"/>
  <c r="BI147" i="8"/>
  <c r="BH147" i="8"/>
  <c r="BG147" i="8"/>
  <c r="BF147" i="8"/>
  <c r="T147" i="8"/>
  <c r="R147" i="8"/>
  <c r="P147" i="8"/>
  <c r="J147" i="8"/>
  <c r="BE147" i="8" s="1"/>
  <c r="BK146" i="8"/>
  <c r="BI146" i="8"/>
  <c r="BH146" i="8"/>
  <c r="BG146" i="8"/>
  <c r="BF146" i="8"/>
  <c r="BE146" i="8"/>
  <c r="T146" i="8"/>
  <c r="R146" i="8"/>
  <c r="P146" i="8"/>
  <c r="J146" i="8"/>
  <c r="BK145" i="8"/>
  <c r="BI145" i="8"/>
  <c r="BH145" i="8"/>
  <c r="BG145" i="8"/>
  <c r="BF145" i="8"/>
  <c r="T145" i="8"/>
  <c r="R145" i="8"/>
  <c r="P145" i="8"/>
  <c r="J145" i="8"/>
  <c r="BE145" i="8" s="1"/>
  <c r="BK144" i="8"/>
  <c r="BI144" i="8"/>
  <c r="BH144" i="8"/>
  <c r="BG144" i="8"/>
  <c r="BF144" i="8"/>
  <c r="T144" i="8"/>
  <c r="R144" i="8"/>
  <c r="P144" i="8"/>
  <c r="J144" i="8"/>
  <c r="BE144" i="8" s="1"/>
  <c r="BK143" i="8"/>
  <c r="BI143" i="8"/>
  <c r="BH143" i="8"/>
  <c r="BG143" i="8"/>
  <c r="BF143" i="8"/>
  <c r="T143" i="8"/>
  <c r="R143" i="8"/>
  <c r="P143" i="8"/>
  <c r="J143" i="8"/>
  <c r="BE143" i="8" s="1"/>
  <c r="BK142" i="8"/>
  <c r="BI142" i="8"/>
  <c r="BH142" i="8"/>
  <c r="BG142" i="8"/>
  <c r="BF142" i="8"/>
  <c r="T142" i="8"/>
  <c r="R142" i="8"/>
  <c r="P142" i="8"/>
  <c r="J142" i="8"/>
  <c r="BE142" i="8" s="1"/>
  <c r="BK141" i="8"/>
  <c r="BI141" i="8"/>
  <c r="BH141" i="8"/>
  <c r="BG141" i="8"/>
  <c r="BF141" i="8"/>
  <c r="T141" i="8"/>
  <c r="R141" i="8"/>
  <c r="P141" i="8"/>
  <c r="J141" i="8"/>
  <c r="BE141" i="8" s="1"/>
  <c r="BK140" i="8"/>
  <c r="BI140" i="8"/>
  <c r="BH140" i="8"/>
  <c r="BG140" i="8"/>
  <c r="BF140" i="8"/>
  <c r="T140" i="8"/>
  <c r="R140" i="8"/>
  <c r="P140" i="8"/>
  <c r="J140" i="8"/>
  <c r="BE140" i="8" s="1"/>
  <c r="BK139" i="8"/>
  <c r="BI139" i="8"/>
  <c r="BH139" i="8"/>
  <c r="BG139" i="8"/>
  <c r="BF139" i="8"/>
  <c r="T139" i="8"/>
  <c r="R139" i="8"/>
  <c r="P139" i="8"/>
  <c r="J139" i="8"/>
  <c r="BE139" i="8" s="1"/>
  <c r="BK138" i="8"/>
  <c r="BI138" i="8"/>
  <c r="BH138" i="8"/>
  <c r="BG138" i="8"/>
  <c r="BF138" i="8"/>
  <c r="T138" i="8"/>
  <c r="R138" i="8"/>
  <c r="P138" i="8"/>
  <c r="J138" i="8"/>
  <c r="BE138" i="8" s="1"/>
  <c r="BK137" i="8"/>
  <c r="BI137" i="8"/>
  <c r="BH137" i="8"/>
  <c r="BG137" i="8"/>
  <c r="BF137" i="8"/>
  <c r="T137" i="8"/>
  <c r="R137" i="8"/>
  <c r="P137" i="8"/>
  <c r="J137" i="8"/>
  <c r="BE137" i="8" s="1"/>
  <c r="BK136" i="8"/>
  <c r="BI136" i="8"/>
  <c r="BH136" i="8"/>
  <c r="BG136" i="8"/>
  <c r="BF136" i="8"/>
  <c r="T136" i="8"/>
  <c r="R136" i="8"/>
  <c r="P136" i="8"/>
  <c r="P135" i="8" s="1"/>
  <c r="J136" i="8"/>
  <c r="BE136" i="8" s="1"/>
  <c r="BK134" i="8"/>
  <c r="BI134" i="8"/>
  <c r="BH134" i="8"/>
  <c r="BG134" i="8"/>
  <c r="BF134" i="8"/>
  <c r="T134" i="8"/>
  <c r="T133" i="8" s="1"/>
  <c r="R134" i="8"/>
  <c r="R133" i="8" s="1"/>
  <c r="P134" i="8"/>
  <c r="P133" i="8" s="1"/>
  <c r="J134" i="8"/>
  <c r="BE134" i="8" s="1"/>
  <c r="BK133" i="8"/>
  <c r="J133" i="8" s="1"/>
  <c r="J96" i="8" s="1"/>
  <c r="F128" i="8"/>
  <c r="F127" i="8"/>
  <c r="F125" i="8"/>
  <c r="E123" i="8"/>
  <c r="J89" i="8"/>
  <c r="F89" i="8"/>
  <c r="F87" i="8"/>
  <c r="E85" i="8"/>
  <c r="J35" i="8"/>
  <c r="J34" i="8"/>
  <c r="J33" i="8"/>
  <c r="T194" i="8" l="1"/>
  <c r="J32" i="8"/>
  <c r="J90" i="8" s="1"/>
  <c r="J127" i="8" s="1"/>
  <c r="F90" i="8" s="1"/>
  <c r="J125" i="8" s="1"/>
  <c r="P162" i="8"/>
  <c r="T191" i="8"/>
  <c r="T341" i="8"/>
  <c r="P184" i="8"/>
  <c r="T162" i="8"/>
  <c r="R194" i="8"/>
  <c r="BK302" i="8"/>
  <c r="J302" i="8" s="1"/>
  <c r="J106" i="8" s="1"/>
  <c r="P194" i="8"/>
  <c r="P199" i="8"/>
  <c r="BK194" i="8"/>
  <c r="J194" i="8" s="1"/>
  <c r="J103" i="8" s="1"/>
  <c r="P364" i="8"/>
  <c r="R199" i="8"/>
  <c r="BK341" i="8"/>
  <c r="J341" i="8" s="1"/>
  <c r="J107" i="8" s="1"/>
  <c r="T345" i="8"/>
  <c r="P345" i="8"/>
  <c r="BK345" i="8"/>
  <c r="J345" i="8" s="1"/>
  <c r="J108" i="8" s="1"/>
  <c r="R135" i="8"/>
  <c r="F33" i="8"/>
  <c r="T135" i="8"/>
  <c r="T132" i="8" s="1"/>
  <c r="P154" i="8"/>
  <c r="T199" i="8"/>
  <c r="P341" i="8"/>
  <c r="F34" i="8"/>
  <c r="R154" i="8"/>
  <c r="R302" i="8"/>
  <c r="BK154" i="8"/>
  <c r="J154" i="8" s="1"/>
  <c r="J98" i="8" s="1"/>
  <c r="BK184" i="8"/>
  <c r="J184" i="8" s="1"/>
  <c r="J101" i="8" s="1"/>
  <c r="F35" i="8"/>
  <c r="F32" i="8"/>
  <c r="P179" i="8"/>
  <c r="P132" i="8" s="1"/>
  <c r="R184" i="8"/>
  <c r="R132" i="8" s="1"/>
  <c r="P191" i="8"/>
  <c r="BK191" i="8"/>
  <c r="J191" i="8" s="1"/>
  <c r="J102" i="8" s="1"/>
  <c r="T302" i="8"/>
  <c r="P302" i="8"/>
  <c r="P198" i="8" s="1"/>
  <c r="R341" i="8"/>
  <c r="BK360" i="8"/>
  <c r="J360" i="8" s="1"/>
  <c r="J109" i="8" s="1"/>
  <c r="R162" i="8"/>
  <c r="R179" i="8"/>
  <c r="R360" i="8"/>
  <c r="T364" i="8"/>
  <c r="R369" i="8"/>
  <c r="R364" i="8" s="1"/>
  <c r="BK135" i="8"/>
  <c r="J135" i="8" s="1"/>
  <c r="J97" i="8" s="1"/>
  <c r="T179" i="8"/>
  <c r="BK199" i="8"/>
  <c r="J199" i="8" s="1"/>
  <c r="J105" i="8" s="1"/>
  <c r="R345" i="8"/>
  <c r="T360" i="8"/>
  <c r="J367" i="8"/>
  <c r="J112" i="8" s="1"/>
  <c r="BK364" i="8"/>
  <c r="J364" i="8" s="1"/>
  <c r="J110" i="8" s="1"/>
  <c r="J31" i="8"/>
  <c r="F31" i="8"/>
  <c r="J128" i="8"/>
  <c r="J87" i="8"/>
  <c r="T198" i="8" l="1"/>
  <c r="BK198" i="8"/>
  <c r="J198" i="8" s="1"/>
  <c r="J104" i="8" s="1"/>
  <c r="BK132" i="8"/>
  <c r="T131" i="8"/>
  <c r="R198" i="8"/>
  <c r="R131" i="8" s="1"/>
  <c r="J132" i="8"/>
  <c r="J95" i="8" s="1"/>
  <c r="BK131" i="8"/>
  <c r="J131" i="8" s="1"/>
  <c r="P131" i="8"/>
  <c r="J94" i="8" l="1"/>
  <c r="J28" i="8"/>
  <c r="J37" i="8" l="1"/>
  <c r="G409" i="4"/>
  <c r="G53" i="7"/>
  <c r="G52" i="7"/>
  <c r="G51" i="7"/>
  <c r="G50" i="7"/>
  <c r="G49" i="7"/>
  <c r="D48" i="7"/>
  <c r="G48" i="7" s="1"/>
  <c r="G47" i="7"/>
  <c r="G46" i="7"/>
  <c r="G45" i="7"/>
  <c r="G44" i="7"/>
  <c r="A44" i="7"/>
  <c r="G43" i="7"/>
  <c r="A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52" i="6"/>
  <c r="G51" i="6"/>
  <c r="G50" i="6"/>
  <c r="G49" i="6"/>
  <c r="G48" i="6"/>
  <c r="D47" i="6"/>
  <c r="G47" i="6" s="1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56" i="7" l="1"/>
  <c r="G229" i="4" s="1"/>
  <c r="G54" i="6"/>
  <c r="G228" i="4" s="1"/>
  <c r="F8" i="5" l="1"/>
  <c r="C8" i="5"/>
  <c r="F6" i="5"/>
  <c r="C6" i="5"/>
  <c r="F4" i="5"/>
  <c r="C4" i="5"/>
  <c r="F2" i="5"/>
  <c r="C2" i="5"/>
  <c r="BS421" i="4"/>
  <c r="BJ421" i="4"/>
  <c r="BF421" i="4"/>
  <c r="BD421" i="4"/>
  <c r="AP421" i="4"/>
  <c r="AX421" i="4" s="1"/>
  <c r="AO421" i="4"/>
  <c r="AW421" i="4" s="1"/>
  <c r="AL421" i="4"/>
  <c r="AK421" i="4"/>
  <c r="AJ421" i="4"/>
  <c r="AH421" i="4"/>
  <c r="AG421" i="4"/>
  <c r="AF421" i="4"/>
  <c r="AE421" i="4"/>
  <c r="AD421" i="4"/>
  <c r="AC421" i="4"/>
  <c r="AB421" i="4"/>
  <c r="Z421" i="4"/>
  <c r="J421" i="4"/>
  <c r="I421" i="4"/>
  <c r="H421" i="4"/>
  <c r="BS420" i="4"/>
  <c r="BJ420" i="4"/>
  <c r="BI420" i="4"/>
  <c r="BH420" i="4"/>
  <c r="BF420" i="4"/>
  <c r="BD420" i="4"/>
  <c r="AP420" i="4"/>
  <c r="AO420" i="4"/>
  <c r="AK420" i="4"/>
  <c r="AJ420" i="4"/>
  <c r="AH420" i="4"/>
  <c r="AG420" i="4"/>
  <c r="AF420" i="4"/>
  <c r="AE420" i="4"/>
  <c r="AD420" i="4"/>
  <c r="AC420" i="4"/>
  <c r="AB420" i="4"/>
  <c r="Z420" i="4"/>
  <c r="J420" i="4"/>
  <c r="AL420" i="4" s="1"/>
  <c r="AU418" i="4" s="1"/>
  <c r="BS419" i="4"/>
  <c r="BJ419" i="4"/>
  <c r="BF419" i="4"/>
  <c r="BD419" i="4"/>
  <c r="AP419" i="4"/>
  <c r="AX419" i="4" s="1"/>
  <c r="AO419" i="4"/>
  <c r="BH419" i="4" s="1"/>
  <c r="AK419" i="4"/>
  <c r="AT418" i="4" s="1"/>
  <c r="AJ419" i="4"/>
  <c r="AH419" i="4"/>
  <c r="AG419" i="4"/>
  <c r="AF419" i="4"/>
  <c r="AE419" i="4"/>
  <c r="AD419" i="4"/>
  <c r="AC419" i="4"/>
  <c r="AB419" i="4"/>
  <c r="Z419" i="4"/>
  <c r="J419" i="4"/>
  <c r="AL419" i="4" s="1"/>
  <c r="H419" i="4"/>
  <c r="BP417" i="4"/>
  <c r="BJ417" i="4"/>
  <c r="BF417" i="4"/>
  <c r="BD417" i="4"/>
  <c r="AP417" i="4"/>
  <c r="AX417" i="4" s="1"/>
  <c r="AO417" i="4"/>
  <c r="BH417" i="4" s="1"/>
  <c r="AK417" i="4"/>
  <c r="AT416" i="4" s="1"/>
  <c r="AJ417" i="4"/>
  <c r="AS416" i="4" s="1"/>
  <c r="AH417" i="4"/>
  <c r="AG417" i="4"/>
  <c r="AF417" i="4"/>
  <c r="AE417" i="4"/>
  <c r="AD417" i="4"/>
  <c r="AC417" i="4"/>
  <c r="AB417" i="4"/>
  <c r="Z417" i="4"/>
  <c r="J417" i="4"/>
  <c r="AL417" i="4" s="1"/>
  <c r="AU416" i="4" s="1"/>
  <c r="H417" i="4"/>
  <c r="H416" i="4" s="1"/>
  <c r="J416" i="4"/>
  <c r="BO415" i="4"/>
  <c r="BJ415" i="4"/>
  <c r="BF415" i="4"/>
  <c r="BD415" i="4"/>
  <c r="AW415" i="4"/>
  <c r="AP415" i="4"/>
  <c r="AX415" i="4" s="1"/>
  <c r="AO415" i="4"/>
  <c r="BH415" i="4" s="1"/>
  <c r="AK415" i="4"/>
  <c r="AT414" i="4" s="1"/>
  <c r="AJ415" i="4"/>
  <c r="AS414" i="4" s="1"/>
  <c r="AH415" i="4"/>
  <c r="AG415" i="4"/>
  <c r="AF415" i="4"/>
  <c r="AE415" i="4"/>
  <c r="AD415" i="4"/>
  <c r="AC415" i="4"/>
  <c r="AB415" i="4"/>
  <c r="Z415" i="4"/>
  <c r="J415" i="4"/>
  <c r="AL415" i="4" s="1"/>
  <c r="H415" i="4"/>
  <c r="H414" i="4" s="1"/>
  <c r="AU414" i="4"/>
  <c r="J414" i="4"/>
  <c r="BM413" i="4"/>
  <c r="BJ413" i="4"/>
  <c r="BF413" i="4"/>
  <c r="BD413" i="4"/>
  <c r="AW413" i="4"/>
  <c r="AP413" i="4"/>
  <c r="AX413" i="4" s="1"/>
  <c r="AO413" i="4"/>
  <c r="BH413" i="4" s="1"/>
  <c r="AK413" i="4"/>
  <c r="AJ413" i="4"/>
  <c r="AH413" i="4"/>
  <c r="AG413" i="4"/>
  <c r="AF413" i="4"/>
  <c r="AE413" i="4"/>
  <c r="AD413" i="4"/>
  <c r="AC413" i="4"/>
  <c r="AB413" i="4"/>
  <c r="Z413" i="4"/>
  <c r="J413" i="4"/>
  <c r="AL413" i="4" s="1"/>
  <c r="H413" i="4"/>
  <c r="BM412" i="4"/>
  <c r="BJ412" i="4"/>
  <c r="BF412" i="4"/>
  <c r="BD412" i="4"/>
  <c r="AP412" i="4"/>
  <c r="BI412" i="4" s="1"/>
  <c r="AO412" i="4"/>
  <c r="H412" i="4" s="1"/>
  <c r="AK412" i="4"/>
  <c r="AJ412" i="4"/>
  <c r="AS411" i="4" s="1"/>
  <c r="AH412" i="4"/>
  <c r="AG412" i="4"/>
  <c r="AF412" i="4"/>
  <c r="AE412" i="4"/>
  <c r="AD412" i="4"/>
  <c r="AC412" i="4"/>
  <c r="AB412" i="4"/>
  <c r="Z412" i="4"/>
  <c r="J412" i="4"/>
  <c r="AT411" i="4"/>
  <c r="H411" i="4"/>
  <c r="BJ409" i="4"/>
  <c r="BF409" i="4"/>
  <c r="BD409" i="4"/>
  <c r="AP409" i="4"/>
  <c r="AX409" i="4" s="1"/>
  <c r="AO409" i="4"/>
  <c r="AW409" i="4" s="1"/>
  <c r="BC409" i="4" s="1"/>
  <c r="AL409" i="4"/>
  <c r="AU408" i="4" s="1"/>
  <c r="AK409" i="4"/>
  <c r="AT408" i="4" s="1"/>
  <c r="AJ409" i="4"/>
  <c r="AS408" i="4" s="1"/>
  <c r="AH409" i="4"/>
  <c r="AE409" i="4"/>
  <c r="AD409" i="4"/>
  <c r="AC409" i="4"/>
  <c r="AB409" i="4"/>
  <c r="Z409" i="4"/>
  <c r="J409" i="4"/>
  <c r="J408" i="4" s="1"/>
  <c r="L57" i="3" s="1"/>
  <c r="N57" i="3" s="1"/>
  <c r="BJ407" i="4"/>
  <c r="BF407" i="4"/>
  <c r="BD407" i="4"/>
  <c r="AX407" i="4"/>
  <c r="AP407" i="4"/>
  <c r="I407" i="4" s="1"/>
  <c r="AO407" i="4"/>
  <c r="AW407" i="4" s="1"/>
  <c r="BC407" i="4" s="1"/>
  <c r="AK407" i="4"/>
  <c r="AJ407" i="4"/>
  <c r="AH407" i="4"/>
  <c r="AG407" i="4"/>
  <c r="AF407" i="4"/>
  <c r="AE407" i="4"/>
  <c r="AD407" i="4"/>
  <c r="AC407" i="4"/>
  <c r="AB407" i="4"/>
  <c r="Z407" i="4"/>
  <c r="J407" i="4"/>
  <c r="AL407" i="4" s="1"/>
  <c r="BJ406" i="4"/>
  <c r="Z406" i="4" s="1"/>
  <c r="BF406" i="4"/>
  <c r="BD406" i="4"/>
  <c r="AP406" i="4"/>
  <c r="AX406" i="4" s="1"/>
  <c r="AO406" i="4"/>
  <c r="AW406" i="4" s="1"/>
  <c r="AL406" i="4"/>
  <c r="AK406" i="4"/>
  <c r="AJ406" i="4"/>
  <c r="AH406" i="4"/>
  <c r="AG406" i="4"/>
  <c r="AF406" i="4"/>
  <c r="AE406" i="4"/>
  <c r="AD406" i="4"/>
  <c r="AC406" i="4"/>
  <c r="AB406" i="4"/>
  <c r="J406" i="4"/>
  <c r="H406" i="4"/>
  <c r="BJ405" i="4"/>
  <c r="Z405" i="4" s="1"/>
  <c r="BF405" i="4"/>
  <c r="BD405" i="4"/>
  <c r="AP405" i="4"/>
  <c r="AX405" i="4" s="1"/>
  <c r="AO405" i="4"/>
  <c r="AK405" i="4"/>
  <c r="AJ405" i="4"/>
  <c r="AH405" i="4"/>
  <c r="AG405" i="4"/>
  <c r="AF405" i="4"/>
  <c r="AE405" i="4"/>
  <c r="AD405" i="4"/>
  <c r="AC405" i="4"/>
  <c r="AB405" i="4"/>
  <c r="J405" i="4"/>
  <c r="AL405" i="4" s="1"/>
  <c r="BJ404" i="4"/>
  <c r="Z404" i="4" s="1"/>
  <c r="BH404" i="4"/>
  <c r="BF404" i="4"/>
  <c r="BD404" i="4"/>
  <c r="AP404" i="4"/>
  <c r="BI404" i="4" s="1"/>
  <c r="AO404" i="4"/>
  <c r="AK404" i="4"/>
  <c r="AJ404" i="4"/>
  <c r="AH404" i="4"/>
  <c r="AG404" i="4"/>
  <c r="AF404" i="4"/>
  <c r="AE404" i="4"/>
  <c r="AD404" i="4"/>
  <c r="AC404" i="4"/>
  <c r="AB404" i="4"/>
  <c r="J404" i="4"/>
  <c r="AL404" i="4" s="1"/>
  <c r="BJ403" i="4"/>
  <c r="Z403" i="4" s="1"/>
  <c r="BF403" i="4"/>
  <c r="BD403" i="4"/>
  <c r="AP403" i="4"/>
  <c r="BI403" i="4" s="1"/>
  <c r="AO403" i="4"/>
  <c r="AW403" i="4" s="1"/>
  <c r="AK403" i="4"/>
  <c r="AJ403" i="4"/>
  <c r="AH403" i="4"/>
  <c r="AG403" i="4"/>
  <c r="AF403" i="4"/>
  <c r="AE403" i="4"/>
  <c r="AD403" i="4"/>
  <c r="AC403" i="4"/>
  <c r="AB403" i="4"/>
  <c r="J403" i="4"/>
  <c r="AL403" i="4" s="1"/>
  <c r="H403" i="4"/>
  <c r="BJ402" i="4"/>
  <c r="Z402" i="4" s="1"/>
  <c r="BF402" i="4"/>
  <c r="BD402" i="4"/>
  <c r="AP402" i="4"/>
  <c r="AO402" i="4"/>
  <c r="BH402" i="4" s="1"/>
  <c r="AK402" i="4"/>
  <c r="AJ402" i="4"/>
  <c r="AH402" i="4"/>
  <c r="AG402" i="4"/>
  <c r="AF402" i="4"/>
  <c r="AE402" i="4"/>
  <c r="AD402" i="4"/>
  <c r="AC402" i="4"/>
  <c r="AB402" i="4"/>
  <c r="J402" i="4"/>
  <c r="AL402" i="4" s="1"/>
  <c r="H402" i="4"/>
  <c r="BJ401" i="4"/>
  <c r="BF401" i="4"/>
  <c r="BD401" i="4"/>
  <c r="AP401" i="4"/>
  <c r="BI401" i="4" s="1"/>
  <c r="AC401" i="4" s="1"/>
  <c r="AO401" i="4"/>
  <c r="BH401" i="4" s="1"/>
  <c r="AB401" i="4" s="1"/>
  <c r="AK401" i="4"/>
  <c r="AJ401" i="4"/>
  <c r="AH401" i="4"/>
  <c r="AG401" i="4"/>
  <c r="AF401" i="4"/>
  <c r="AE401" i="4"/>
  <c r="AD401" i="4"/>
  <c r="Z401" i="4"/>
  <c r="J401" i="4"/>
  <c r="AL401" i="4" s="1"/>
  <c r="BJ400" i="4"/>
  <c r="Z400" i="4" s="1"/>
  <c r="BF400" i="4"/>
  <c r="BD400" i="4"/>
  <c r="AP400" i="4"/>
  <c r="BI400" i="4" s="1"/>
  <c r="AO400" i="4"/>
  <c r="H400" i="4" s="1"/>
  <c r="AK400" i="4"/>
  <c r="AJ400" i="4"/>
  <c r="AH400" i="4"/>
  <c r="AG400" i="4"/>
  <c r="AF400" i="4"/>
  <c r="AE400" i="4"/>
  <c r="AD400" i="4"/>
  <c r="AC400" i="4"/>
  <c r="AB400" i="4"/>
  <c r="J400" i="4"/>
  <c r="AL400" i="4" s="1"/>
  <c r="BJ399" i="4"/>
  <c r="BF399" i="4"/>
  <c r="BD399" i="4"/>
  <c r="AP399" i="4"/>
  <c r="I399" i="4" s="1"/>
  <c r="AO399" i="4"/>
  <c r="AW399" i="4" s="1"/>
  <c r="AK399" i="4"/>
  <c r="AJ399" i="4"/>
  <c r="AH399" i="4"/>
  <c r="AG399" i="4"/>
  <c r="AF399" i="4"/>
  <c r="AE399" i="4"/>
  <c r="AD399" i="4"/>
  <c r="Z399" i="4"/>
  <c r="J399" i="4"/>
  <c r="AL399" i="4" s="1"/>
  <c r="BJ398" i="4"/>
  <c r="Z398" i="4" s="1"/>
  <c r="BF398" i="4"/>
  <c r="BD398" i="4"/>
  <c r="AP398" i="4"/>
  <c r="AX398" i="4" s="1"/>
  <c r="AO398" i="4"/>
  <c r="AW398" i="4" s="1"/>
  <c r="AK398" i="4"/>
  <c r="AJ398" i="4"/>
  <c r="AH398" i="4"/>
  <c r="AG398" i="4"/>
  <c r="AF398" i="4"/>
  <c r="AE398" i="4"/>
  <c r="AD398" i="4"/>
  <c r="AC398" i="4"/>
  <c r="AB398" i="4"/>
  <c r="J398" i="4"/>
  <c r="AL398" i="4" s="1"/>
  <c r="BJ397" i="4"/>
  <c r="BH397" i="4"/>
  <c r="AB397" i="4" s="1"/>
  <c r="BF397" i="4"/>
  <c r="BD397" i="4"/>
  <c r="AP397" i="4"/>
  <c r="AX397" i="4" s="1"/>
  <c r="AO397" i="4"/>
  <c r="AL397" i="4"/>
  <c r="AK397" i="4"/>
  <c r="AJ397" i="4"/>
  <c r="AH397" i="4"/>
  <c r="AG397" i="4"/>
  <c r="AF397" i="4"/>
  <c r="AE397" i="4"/>
  <c r="AD397" i="4"/>
  <c r="Z397" i="4"/>
  <c r="J397" i="4"/>
  <c r="BJ396" i="4"/>
  <c r="BI396" i="4"/>
  <c r="AC396" i="4" s="1"/>
  <c r="BF396" i="4"/>
  <c r="BD396" i="4"/>
  <c r="AP396" i="4"/>
  <c r="AO396" i="4"/>
  <c r="BH396" i="4" s="1"/>
  <c r="AB396" i="4" s="1"/>
  <c r="AL396" i="4"/>
  <c r="AK396" i="4"/>
  <c r="AJ396" i="4"/>
  <c r="AH396" i="4"/>
  <c r="AG396" i="4"/>
  <c r="AF396" i="4"/>
  <c r="AE396" i="4"/>
  <c r="AD396" i="4"/>
  <c r="Z396" i="4"/>
  <c r="J396" i="4"/>
  <c r="BJ395" i="4"/>
  <c r="BH395" i="4"/>
  <c r="AB395" i="4" s="1"/>
  <c r="BF395" i="4"/>
  <c r="BD395" i="4"/>
  <c r="AP395" i="4"/>
  <c r="BI395" i="4" s="1"/>
  <c r="AC395" i="4" s="1"/>
  <c r="AO395" i="4"/>
  <c r="AW395" i="4" s="1"/>
  <c r="AK395" i="4"/>
  <c r="AJ395" i="4"/>
  <c r="AH395" i="4"/>
  <c r="AG395" i="4"/>
  <c r="AF395" i="4"/>
  <c r="AE395" i="4"/>
  <c r="AD395" i="4"/>
  <c r="Z395" i="4"/>
  <c r="J395" i="4"/>
  <c r="AL395" i="4" s="1"/>
  <c r="BJ394" i="4"/>
  <c r="BF394" i="4"/>
  <c r="BD394" i="4"/>
  <c r="AP394" i="4"/>
  <c r="AX394" i="4" s="1"/>
  <c r="AO394" i="4"/>
  <c r="BH394" i="4" s="1"/>
  <c r="AB394" i="4" s="1"/>
  <c r="AK394" i="4"/>
  <c r="AJ394" i="4"/>
  <c r="AH394" i="4"/>
  <c r="AG394" i="4"/>
  <c r="AF394" i="4"/>
  <c r="AE394" i="4"/>
  <c r="AD394" i="4"/>
  <c r="Z394" i="4"/>
  <c r="J394" i="4"/>
  <c r="AL394" i="4" s="1"/>
  <c r="BJ393" i="4"/>
  <c r="BF393" i="4"/>
  <c r="BD393" i="4"/>
  <c r="AW393" i="4"/>
  <c r="AP393" i="4"/>
  <c r="BI393" i="4" s="1"/>
  <c r="AC393" i="4" s="1"/>
  <c r="AO393" i="4"/>
  <c r="BH393" i="4" s="1"/>
  <c r="AB393" i="4" s="1"/>
  <c r="AK393" i="4"/>
  <c r="AJ393" i="4"/>
  <c r="AH393" i="4"/>
  <c r="AG393" i="4"/>
  <c r="AF393" i="4"/>
  <c r="AE393" i="4"/>
  <c r="AD393" i="4"/>
  <c r="Z393" i="4"/>
  <c r="J393" i="4"/>
  <c r="AL393" i="4" s="1"/>
  <c r="H393" i="4"/>
  <c r="BJ392" i="4"/>
  <c r="BF392" i="4"/>
  <c r="BD392" i="4"/>
  <c r="AP392" i="4"/>
  <c r="BI392" i="4" s="1"/>
  <c r="AC392" i="4" s="1"/>
  <c r="AO392" i="4"/>
  <c r="H392" i="4" s="1"/>
  <c r="AK392" i="4"/>
  <c r="AJ392" i="4"/>
  <c r="AH392" i="4"/>
  <c r="AG392" i="4"/>
  <c r="AF392" i="4"/>
  <c r="AE392" i="4"/>
  <c r="AD392" i="4"/>
  <c r="Z392" i="4"/>
  <c r="J392" i="4"/>
  <c r="AL392" i="4" s="1"/>
  <c r="BJ391" i="4"/>
  <c r="BF391" i="4"/>
  <c r="BD391" i="4"/>
  <c r="AP391" i="4"/>
  <c r="I391" i="4" s="1"/>
  <c r="AO391" i="4"/>
  <c r="AW391" i="4" s="1"/>
  <c r="AK391" i="4"/>
  <c r="AJ391" i="4"/>
  <c r="AH391" i="4"/>
  <c r="AG391" i="4"/>
  <c r="AF391" i="4"/>
  <c r="AE391" i="4"/>
  <c r="AD391" i="4"/>
  <c r="Z391" i="4"/>
  <c r="J391" i="4"/>
  <c r="BJ390" i="4"/>
  <c r="BF390" i="4"/>
  <c r="BD390" i="4"/>
  <c r="AP390" i="4"/>
  <c r="AX390" i="4" s="1"/>
  <c r="BC390" i="4" s="1"/>
  <c r="AO390" i="4"/>
  <c r="AW390" i="4" s="1"/>
  <c r="AK390" i="4"/>
  <c r="AJ390" i="4"/>
  <c r="AH390" i="4"/>
  <c r="AG390" i="4"/>
  <c r="AF390" i="4"/>
  <c r="AE390" i="4"/>
  <c r="AD390" i="4"/>
  <c r="Z390" i="4"/>
  <c r="J390" i="4"/>
  <c r="AL390" i="4" s="1"/>
  <c r="H390" i="4"/>
  <c r="BJ389" i="4"/>
  <c r="Z389" i="4" s="1"/>
  <c r="BF389" i="4"/>
  <c r="BD389" i="4"/>
  <c r="AP389" i="4"/>
  <c r="AX389" i="4" s="1"/>
  <c r="AO389" i="4"/>
  <c r="BH389" i="4" s="1"/>
  <c r="AL389" i="4"/>
  <c r="AK389" i="4"/>
  <c r="AJ389" i="4"/>
  <c r="AH389" i="4"/>
  <c r="AG389" i="4"/>
  <c r="AF389" i="4"/>
  <c r="AE389" i="4"/>
  <c r="AD389" i="4"/>
  <c r="AC389" i="4"/>
  <c r="AB389" i="4"/>
  <c r="J389" i="4"/>
  <c r="I389" i="4"/>
  <c r="BJ388" i="4"/>
  <c r="BF388" i="4"/>
  <c r="BD388" i="4"/>
  <c r="AP388" i="4"/>
  <c r="BI388" i="4" s="1"/>
  <c r="AC388" i="4" s="1"/>
  <c r="AO388" i="4"/>
  <c r="BH388" i="4" s="1"/>
  <c r="AB388" i="4" s="1"/>
  <c r="AK388" i="4"/>
  <c r="AJ388" i="4"/>
  <c r="AH388" i="4"/>
  <c r="AG388" i="4"/>
  <c r="AF388" i="4"/>
  <c r="AE388" i="4"/>
  <c r="AD388" i="4"/>
  <c r="Z388" i="4"/>
  <c r="J388" i="4"/>
  <c r="AL388" i="4" s="1"/>
  <c r="BJ387" i="4"/>
  <c r="Z387" i="4" s="1"/>
  <c r="BF387" i="4"/>
  <c r="BD387" i="4"/>
  <c r="AP387" i="4"/>
  <c r="BI387" i="4" s="1"/>
  <c r="AO387" i="4"/>
  <c r="AW387" i="4" s="1"/>
  <c r="AK387" i="4"/>
  <c r="AJ387" i="4"/>
  <c r="AH387" i="4"/>
  <c r="AG387" i="4"/>
  <c r="AF387" i="4"/>
  <c r="AE387" i="4"/>
  <c r="AD387" i="4"/>
  <c r="AC387" i="4"/>
  <c r="AB387" i="4"/>
  <c r="J387" i="4"/>
  <c r="AL387" i="4" s="1"/>
  <c r="BJ386" i="4"/>
  <c r="BF386" i="4"/>
  <c r="BD386" i="4"/>
  <c r="AW386" i="4"/>
  <c r="BC386" i="4" s="1"/>
  <c r="AP386" i="4"/>
  <c r="AX386" i="4" s="1"/>
  <c r="AO386" i="4"/>
  <c r="BH386" i="4" s="1"/>
  <c r="AB386" i="4" s="1"/>
  <c r="AK386" i="4"/>
  <c r="AJ386" i="4"/>
  <c r="AH386" i="4"/>
  <c r="AG386" i="4"/>
  <c r="AF386" i="4"/>
  <c r="AE386" i="4"/>
  <c r="AD386" i="4"/>
  <c r="Z386" i="4"/>
  <c r="J386" i="4"/>
  <c r="AL386" i="4" s="1"/>
  <c r="I386" i="4"/>
  <c r="BJ385" i="4"/>
  <c r="BF385" i="4"/>
  <c r="BD385" i="4"/>
  <c r="AX385" i="4"/>
  <c r="AP385" i="4"/>
  <c r="BI385" i="4" s="1"/>
  <c r="AC385" i="4" s="1"/>
  <c r="AO385" i="4"/>
  <c r="BH385" i="4" s="1"/>
  <c r="AB385" i="4" s="1"/>
  <c r="AK385" i="4"/>
  <c r="AJ385" i="4"/>
  <c r="AH385" i="4"/>
  <c r="AG385" i="4"/>
  <c r="AF385" i="4"/>
  <c r="AE385" i="4"/>
  <c r="AD385" i="4"/>
  <c r="Z385" i="4"/>
  <c r="J385" i="4"/>
  <c r="AL385" i="4" s="1"/>
  <c r="H385" i="4"/>
  <c r="BJ384" i="4"/>
  <c r="BF384" i="4"/>
  <c r="BD384" i="4"/>
  <c r="AX384" i="4"/>
  <c r="AP384" i="4"/>
  <c r="BI384" i="4" s="1"/>
  <c r="AC384" i="4" s="1"/>
  <c r="AO384" i="4"/>
  <c r="H384" i="4" s="1"/>
  <c r="AK384" i="4"/>
  <c r="AJ384" i="4"/>
  <c r="AH384" i="4"/>
  <c r="AG384" i="4"/>
  <c r="AF384" i="4"/>
  <c r="AE384" i="4"/>
  <c r="AD384" i="4"/>
  <c r="Z384" i="4"/>
  <c r="J384" i="4"/>
  <c r="AL384" i="4" s="1"/>
  <c r="I384" i="4"/>
  <c r="BJ383" i="4"/>
  <c r="BF383" i="4"/>
  <c r="BD383" i="4"/>
  <c r="AX383" i="4"/>
  <c r="AP383" i="4"/>
  <c r="I383" i="4" s="1"/>
  <c r="AO383" i="4"/>
  <c r="AW383" i="4" s="1"/>
  <c r="AK383" i="4"/>
  <c r="AJ383" i="4"/>
  <c r="AH383" i="4"/>
  <c r="AG383" i="4"/>
  <c r="AF383" i="4"/>
  <c r="AE383" i="4"/>
  <c r="AD383" i="4"/>
  <c r="Z383" i="4"/>
  <c r="J383" i="4"/>
  <c r="AL383" i="4" s="1"/>
  <c r="BJ382" i="4"/>
  <c r="Z382" i="4" s="1"/>
  <c r="BF382" i="4"/>
  <c r="BD382" i="4"/>
  <c r="AP382" i="4"/>
  <c r="AX382" i="4" s="1"/>
  <c r="BC382" i="4" s="1"/>
  <c r="AO382" i="4"/>
  <c r="AW382" i="4" s="1"/>
  <c r="AK382" i="4"/>
  <c r="AJ382" i="4"/>
  <c r="AH382" i="4"/>
  <c r="AG382" i="4"/>
  <c r="AF382" i="4"/>
  <c r="AE382" i="4"/>
  <c r="AD382" i="4"/>
  <c r="AC382" i="4"/>
  <c r="AB382" i="4"/>
  <c r="J382" i="4"/>
  <c r="AL382" i="4" s="1"/>
  <c r="BJ381" i="4"/>
  <c r="BH381" i="4"/>
  <c r="AB381" i="4" s="1"/>
  <c r="BF381" i="4"/>
  <c r="BD381" i="4"/>
  <c r="AP381" i="4"/>
  <c r="AX381" i="4" s="1"/>
  <c r="AO381" i="4"/>
  <c r="AL381" i="4"/>
  <c r="AK381" i="4"/>
  <c r="AJ381" i="4"/>
  <c r="AH381" i="4"/>
  <c r="AG381" i="4"/>
  <c r="AF381" i="4"/>
  <c r="AE381" i="4"/>
  <c r="AD381" i="4"/>
  <c r="Z381" i="4"/>
  <c r="J381" i="4"/>
  <c r="I381" i="4"/>
  <c r="BJ380" i="4"/>
  <c r="BF380" i="4"/>
  <c r="BD380" i="4"/>
  <c r="AP380" i="4"/>
  <c r="AO380" i="4"/>
  <c r="AK380" i="4"/>
  <c r="AJ380" i="4"/>
  <c r="AH380" i="4"/>
  <c r="AG380" i="4"/>
  <c r="AF380" i="4"/>
  <c r="AE380" i="4"/>
  <c r="AD380" i="4"/>
  <c r="Z380" i="4"/>
  <c r="J380" i="4"/>
  <c r="AL380" i="4" s="1"/>
  <c r="BJ379" i="4"/>
  <c r="BF379" i="4"/>
  <c r="BD379" i="4"/>
  <c r="AP379" i="4"/>
  <c r="BI379" i="4" s="1"/>
  <c r="AC379" i="4" s="1"/>
  <c r="AO379" i="4"/>
  <c r="AW379" i="4" s="1"/>
  <c r="AK379" i="4"/>
  <c r="AJ379" i="4"/>
  <c r="AH379" i="4"/>
  <c r="AG379" i="4"/>
  <c r="AF379" i="4"/>
  <c r="AE379" i="4"/>
  <c r="AD379" i="4"/>
  <c r="Z379" i="4"/>
  <c r="J379" i="4"/>
  <c r="AL379" i="4" s="1"/>
  <c r="H379" i="4"/>
  <c r="BJ378" i="4"/>
  <c r="BF378" i="4"/>
  <c r="BD378" i="4"/>
  <c r="AP378" i="4"/>
  <c r="AX378" i="4" s="1"/>
  <c r="AO378" i="4"/>
  <c r="BH378" i="4" s="1"/>
  <c r="AB378" i="4" s="1"/>
  <c r="AK378" i="4"/>
  <c r="AJ378" i="4"/>
  <c r="AH378" i="4"/>
  <c r="AG378" i="4"/>
  <c r="AF378" i="4"/>
  <c r="AE378" i="4"/>
  <c r="AD378" i="4"/>
  <c r="Z378" i="4"/>
  <c r="J378" i="4"/>
  <c r="AL378" i="4" s="1"/>
  <c r="H378" i="4"/>
  <c r="BJ377" i="4"/>
  <c r="BF377" i="4"/>
  <c r="BD377" i="4"/>
  <c r="AP377" i="4"/>
  <c r="BI377" i="4" s="1"/>
  <c r="AC377" i="4" s="1"/>
  <c r="AO377" i="4"/>
  <c r="BH377" i="4" s="1"/>
  <c r="AB377" i="4" s="1"/>
  <c r="AK377" i="4"/>
  <c r="AJ377" i="4"/>
  <c r="AH377" i="4"/>
  <c r="AG377" i="4"/>
  <c r="AF377" i="4"/>
  <c r="AE377" i="4"/>
  <c r="AD377" i="4"/>
  <c r="Z377" i="4"/>
  <c r="J377" i="4"/>
  <c r="AL377" i="4" s="1"/>
  <c r="BJ376" i="4"/>
  <c r="Z376" i="4" s="1"/>
  <c r="BF376" i="4"/>
  <c r="BD376" i="4"/>
  <c r="AP376" i="4"/>
  <c r="BI376" i="4" s="1"/>
  <c r="AO376" i="4"/>
  <c r="H376" i="4" s="1"/>
  <c r="AK376" i="4"/>
  <c r="AJ376" i="4"/>
  <c r="AH376" i="4"/>
  <c r="AG376" i="4"/>
  <c r="AF376" i="4"/>
  <c r="AE376" i="4"/>
  <c r="AD376" i="4"/>
  <c r="AC376" i="4"/>
  <c r="AB376" i="4"/>
  <c r="J376" i="4"/>
  <c r="AL376" i="4" s="1"/>
  <c r="BJ375" i="4"/>
  <c r="BF375" i="4"/>
  <c r="BD375" i="4"/>
  <c r="AW375" i="4"/>
  <c r="AP375" i="4"/>
  <c r="I375" i="4" s="1"/>
  <c r="AO375" i="4"/>
  <c r="H375" i="4" s="1"/>
  <c r="AK375" i="4"/>
  <c r="AJ375" i="4"/>
  <c r="AH375" i="4"/>
  <c r="AG375" i="4"/>
  <c r="AF375" i="4"/>
  <c r="AE375" i="4"/>
  <c r="AD375" i="4"/>
  <c r="Z375" i="4"/>
  <c r="J375" i="4"/>
  <c r="AL375" i="4" s="1"/>
  <c r="BJ374" i="4"/>
  <c r="BF374" i="4"/>
  <c r="BD374" i="4"/>
  <c r="AP374" i="4"/>
  <c r="I374" i="4" s="1"/>
  <c r="AO374" i="4"/>
  <c r="AW374" i="4" s="1"/>
  <c r="AL374" i="4"/>
  <c r="AK374" i="4"/>
  <c r="AJ374" i="4"/>
  <c r="AH374" i="4"/>
  <c r="AG374" i="4"/>
  <c r="AF374" i="4"/>
  <c r="AE374" i="4"/>
  <c r="AD374" i="4"/>
  <c r="Z374" i="4"/>
  <c r="J374" i="4"/>
  <c r="H374" i="4"/>
  <c r="BJ373" i="4"/>
  <c r="BH373" i="4"/>
  <c r="AB373" i="4" s="1"/>
  <c r="BF373" i="4"/>
  <c r="BD373" i="4"/>
  <c r="AP373" i="4"/>
  <c r="AX373" i="4" s="1"/>
  <c r="AO373" i="4"/>
  <c r="AK373" i="4"/>
  <c r="AJ373" i="4"/>
  <c r="AH373" i="4"/>
  <c r="AG373" i="4"/>
  <c r="AF373" i="4"/>
  <c r="AE373" i="4"/>
  <c r="AD373" i="4"/>
  <c r="Z373" i="4"/>
  <c r="J373" i="4"/>
  <c r="AL373" i="4" s="1"/>
  <c r="I373" i="4"/>
  <c r="BJ372" i="4"/>
  <c r="BF372" i="4"/>
  <c r="BD372" i="4"/>
  <c r="AP372" i="4"/>
  <c r="I372" i="4" s="1"/>
  <c r="AO372" i="4"/>
  <c r="AK372" i="4"/>
  <c r="AJ372" i="4"/>
  <c r="AH372" i="4"/>
  <c r="AG372" i="4"/>
  <c r="AF372" i="4"/>
  <c r="AE372" i="4"/>
  <c r="AD372" i="4"/>
  <c r="Z372" i="4"/>
  <c r="J372" i="4"/>
  <c r="AL372" i="4" s="1"/>
  <c r="BJ371" i="4"/>
  <c r="BF371" i="4"/>
  <c r="BD371" i="4"/>
  <c r="AP371" i="4"/>
  <c r="BI371" i="4" s="1"/>
  <c r="AC371" i="4" s="1"/>
  <c r="AO371" i="4"/>
  <c r="AW371" i="4" s="1"/>
  <c r="AK371" i="4"/>
  <c r="AJ371" i="4"/>
  <c r="AH371" i="4"/>
  <c r="AG371" i="4"/>
  <c r="AF371" i="4"/>
  <c r="AE371" i="4"/>
  <c r="AD371" i="4"/>
  <c r="Z371" i="4"/>
  <c r="J371" i="4"/>
  <c r="AL371" i="4" s="1"/>
  <c r="H371" i="4"/>
  <c r="BJ370" i="4"/>
  <c r="BF370" i="4"/>
  <c r="BD370" i="4"/>
  <c r="AP370" i="4"/>
  <c r="AX370" i="4" s="1"/>
  <c r="AO370" i="4"/>
  <c r="BH370" i="4" s="1"/>
  <c r="AB370" i="4" s="1"/>
  <c r="AK370" i="4"/>
  <c r="AJ370" i="4"/>
  <c r="AH370" i="4"/>
  <c r="AG370" i="4"/>
  <c r="AF370" i="4"/>
  <c r="AE370" i="4"/>
  <c r="AD370" i="4"/>
  <c r="Z370" i="4"/>
  <c r="J370" i="4"/>
  <c r="AL370" i="4" s="1"/>
  <c r="I370" i="4"/>
  <c r="H370" i="4"/>
  <c r="BJ369" i="4"/>
  <c r="BF369" i="4"/>
  <c r="BD369" i="4"/>
  <c r="AX369" i="4"/>
  <c r="AW369" i="4"/>
  <c r="AP369" i="4"/>
  <c r="BI369" i="4" s="1"/>
  <c r="AO369" i="4"/>
  <c r="BH369" i="4" s="1"/>
  <c r="AB369" i="4" s="1"/>
  <c r="AL369" i="4"/>
  <c r="AK369" i="4"/>
  <c r="AJ369" i="4"/>
  <c r="AH369" i="4"/>
  <c r="AG369" i="4"/>
  <c r="AF369" i="4"/>
  <c r="AE369" i="4"/>
  <c r="AD369" i="4"/>
  <c r="AC369" i="4"/>
  <c r="Z369" i="4"/>
  <c r="J369" i="4"/>
  <c r="I369" i="4"/>
  <c r="H369" i="4"/>
  <c r="BJ368" i="4"/>
  <c r="BH368" i="4"/>
  <c r="AB368" i="4" s="1"/>
  <c r="BF368" i="4"/>
  <c r="BD368" i="4"/>
  <c r="AP368" i="4"/>
  <c r="BI368" i="4" s="1"/>
  <c r="AC368" i="4" s="1"/>
  <c r="AO368" i="4"/>
  <c r="H368" i="4" s="1"/>
  <c r="AK368" i="4"/>
  <c r="AJ368" i="4"/>
  <c r="AH368" i="4"/>
  <c r="AG368" i="4"/>
  <c r="AF368" i="4"/>
  <c r="AE368" i="4"/>
  <c r="AD368" i="4"/>
  <c r="Z368" i="4"/>
  <c r="J368" i="4"/>
  <c r="AL368" i="4" s="1"/>
  <c r="BJ367" i="4"/>
  <c r="BF367" i="4"/>
  <c r="BD367" i="4"/>
  <c r="AW367" i="4"/>
  <c r="AP367" i="4"/>
  <c r="I367" i="4" s="1"/>
  <c r="AO367" i="4"/>
  <c r="H367" i="4" s="1"/>
  <c r="AK367" i="4"/>
  <c r="AJ367" i="4"/>
  <c r="AH367" i="4"/>
  <c r="AG367" i="4"/>
  <c r="AF367" i="4"/>
  <c r="AE367" i="4"/>
  <c r="AD367" i="4"/>
  <c r="Z367" i="4"/>
  <c r="J367" i="4"/>
  <c r="AL367" i="4" s="1"/>
  <c r="BJ365" i="4"/>
  <c r="Z365" i="4" s="1"/>
  <c r="BH365" i="4"/>
  <c r="BF365" i="4"/>
  <c r="BD365" i="4"/>
  <c r="AP365" i="4"/>
  <c r="BI365" i="4" s="1"/>
  <c r="AO365" i="4"/>
  <c r="H365" i="4" s="1"/>
  <c r="AK365" i="4"/>
  <c r="AJ365" i="4"/>
  <c r="AH365" i="4"/>
  <c r="AG365" i="4"/>
  <c r="AF365" i="4"/>
  <c r="AE365" i="4"/>
  <c r="AD365" i="4"/>
  <c r="AC365" i="4"/>
  <c r="AB365" i="4"/>
  <c r="J365" i="4"/>
  <c r="AL365" i="4" s="1"/>
  <c r="BJ364" i="4"/>
  <c r="BF364" i="4"/>
  <c r="BD364" i="4"/>
  <c r="AP364" i="4"/>
  <c r="AO364" i="4"/>
  <c r="AK364" i="4"/>
  <c r="AJ364" i="4"/>
  <c r="AH364" i="4"/>
  <c r="AG364" i="4"/>
  <c r="AF364" i="4"/>
  <c r="AE364" i="4"/>
  <c r="AD364" i="4"/>
  <c r="Z364" i="4"/>
  <c r="J364" i="4"/>
  <c r="AL364" i="4" s="1"/>
  <c r="BJ363" i="4"/>
  <c r="BF363" i="4"/>
  <c r="BD363" i="4"/>
  <c r="AP363" i="4"/>
  <c r="BI363" i="4" s="1"/>
  <c r="AC363" i="4" s="1"/>
  <c r="AO363" i="4"/>
  <c r="AW363" i="4" s="1"/>
  <c r="AK363" i="4"/>
  <c r="AJ363" i="4"/>
  <c r="AH363" i="4"/>
  <c r="AG363" i="4"/>
  <c r="AF363" i="4"/>
  <c r="AE363" i="4"/>
  <c r="AD363" i="4"/>
  <c r="Z363" i="4"/>
  <c r="J363" i="4"/>
  <c r="AL363" i="4" s="1"/>
  <c r="H363" i="4"/>
  <c r="BJ362" i="4"/>
  <c r="BF362" i="4"/>
  <c r="BD362" i="4"/>
  <c r="AP362" i="4"/>
  <c r="AO362" i="4"/>
  <c r="BH362" i="4" s="1"/>
  <c r="AB362" i="4" s="1"/>
  <c r="AK362" i="4"/>
  <c r="AJ362" i="4"/>
  <c r="AH362" i="4"/>
  <c r="AG362" i="4"/>
  <c r="AF362" i="4"/>
  <c r="AE362" i="4"/>
  <c r="AD362" i="4"/>
  <c r="Z362" i="4"/>
  <c r="J362" i="4"/>
  <c r="AL362" i="4" s="1"/>
  <c r="H362" i="4"/>
  <c r="BJ361" i="4"/>
  <c r="BF361" i="4"/>
  <c r="BD361" i="4"/>
  <c r="AP361" i="4"/>
  <c r="AO361" i="4"/>
  <c r="AW361" i="4" s="1"/>
  <c r="AK361" i="4"/>
  <c r="AJ361" i="4"/>
  <c r="AH361" i="4"/>
  <c r="AG361" i="4"/>
  <c r="AF361" i="4"/>
  <c r="AE361" i="4"/>
  <c r="AD361" i="4"/>
  <c r="Z361" i="4"/>
  <c r="J361" i="4"/>
  <c r="AL361" i="4" s="1"/>
  <c r="BJ360" i="4"/>
  <c r="BF360" i="4"/>
  <c r="BD360" i="4"/>
  <c r="AP360" i="4"/>
  <c r="BI360" i="4" s="1"/>
  <c r="AC360" i="4" s="1"/>
  <c r="AO360" i="4"/>
  <c r="AW360" i="4" s="1"/>
  <c r="AK360" i="4"/>
  <c r="AJ360" i="4"/>
  <c r="AH360" i="4"/>
  <c r="AG360" i="4"/>
  <c r="AF360" i="4"/>
  <c r="AE360" i="4"/>
  <c r="AD360" i="4"/>
  <c r="Z360" i="4"/>
  <c r="J360" i="4"/>
  <c r="H360" i="4"/>
  <c r="BJ358" i="4"/>
  <c r="BI358" i="4"/>
  <c r="AC358" i="4" s="1"/>
  <c r="BF358" i="4"/>
  <c r="BD358" i="4"/>
  <c r="AW358" i="4"/>
  <c r="AV358" i="4" s="1"/>
  <c r="AP358" i="4"/>
  <c r="AX358" i="4" s="1"/>
  <c r="AO358" i="4"/>
  <c r="BH358" i="4" s="1"/>
  <c r="AB358" i="4" s="1"/>
  <c r="AK358" i="4"/>
  <c r="AJ358" i="4"/>
  <c r="AH358" i="4"/>
  <c r="AG358" i="4"/>
  <c r="AF358" i="4"/>
  <c r="AE358" i="4"/>
  <c r="AD358" i="4"/>
  <c r="Z358" i="4"/>
  <c r="J358" i="4"/>
  <c r="AL358" i="4" s="1"/>
  <c r="AU353" i="4" s="1"/>
  <c r="H358" i="4"/>
  <c r="BJ357" i="4"/>
  <c r="BF357" i="4"/>
  <c r="BD357" i="4"/>
  <c r="AP357" i="4"/>
  <c r="AX357" i="4" s="1"/>
  <c r="AO357" i="4"/>
  <c r="BH357" i="4" s="1"/>
  <c r="AB357" i="4" s="1"/>
  <c r="AK357" i="4"/>
  <c r="AJ357" i="4"/>
  <c r="AH357" i="4"/>
  <c r="AG357" i="4"/>
  <c r="AF357" i="4"/>
  <c r="AE357" i="4"/>
  <c r="AD357" i="4"/>
  <c r="Z357" i="4"/>
  <c r="J357" i="4"/>
  <c r="AL357" i="4" s="1"/>
  <c r="H357" i="4"/>
  <c r="BJ356" i="4"/>
  <c r="BF356" i="4"/>
  <c r="BD356" i="4"/>
  <c r="AP356" i="4"/>
  <c r="I356" i="4" s="1"/>
  <c r="AO356" i="4"/>
  <c r="BH356" i="4" s="1"/>
  <c r="AB356" i="4" s="1"/>
  <c r="AK356" i="4"/>
  <c r="AJ356" i="4"/>
  <c r="AH356" i="4"/>
  <c r="AG356" i="4"/>
  <c r="AF356" i="4"/>
  <c r="AE356" i="4"/>
  <c r="AD356" i="4"/>
  <c r="Z356" i="4"/>
  <c r="J356" i="4"/>
  <c r="AL356" i="4" s="1"/>
  <c r="BJ355" i="4"/>
  <c r="BF355" i="4"/>
  <c r="BD355" i="4"/>
  <c r="AW355" i="4"/>
  <c r="AP355" i="4"/>
  <c r="AX355" i="4" s="1"/>
  <c r="AO355" i="4"/>
  <c r="BH355" i="4" s="1"/>
  <c r="AL355" i="4"/>
  <c r="AK355" i="4"/>
  <c r="AJ355" i="4"/>
  <c r="AH355" i="4"/>
  <c r="AG355" i="4"/>
  <c r="AF355" i="4"/>
  <c r="AE355" i="4"/>
  <c r="AD355" i="4"/>
  <c r="AB355" i="4"/>
  <c r="Z355" i="4"/>
  <c r="J355" i="4"/>
  <c r="H355" i="4"/>
  <c r="BJ354" i="4"/>
  <c r="BF354" i="4"/>
  <c r="BD354" i="4"/>
  <c r="AW354" i="4"/>
  <c r="AP354" i="4"/>
  <c r="BI354" i="4" s="1"/>
  <c r="AC354" i="4" s="1"/>
  <c r="AO354" i="4"/>
  <c r="BH354" i="4" s="1"/>
  <c r="AL354" i="4"/>
  <c r="AK354" i="4"/>
  <c r="AJ354" i="4"/>
  <c r="AS353" i="4" s="1"/>
  <c r="AH354" i="4"/>
  <c r="AG354" i="4"/>
  <c r="AF354" i="4"/>
  <c r="AE354" i="4"/>
  <c r="AD354" i="4"/>
  <c r="AB354" i="4"/>
  <c r="Z354" i="4"/>
  <c r="J354" i="4"/>
  <c r="J353" i="4" s="1"/>
  <c r="H354" i="4"/>
  <c r="BJ352" i="4"/>
  <c r="BF352" i="4"/>
  <c r="BD352" i="4"/>
  <c r="AP352" i="4"/>
  <c r="BI352" i="4" s="1"/>
  <c r="AC352" i="4" s="1"/>
  <c r="AO352" i="4"/>
  <c r="AW352" i="4" s="1"/>
  <c r="AK352" i="4"/>
  <c r="AJ352" i="4"/>
  <c r="AH352" i="4"/>
  <c r="AG352" i="4"/>
  <c r="AF352" i="4"/>
  <c r="AE352" i="4"/>
  <c r="AD352" i="4"/>
  <c r="Z352" i="4"/>
  <c r="J352" i="4"/>
  <c r="AL352" i="4" s="1"/>
  <c r="BJ351" i="4"/>
  <c r="BF351" i="4"/>
  <c r="BD351" i="4"/>
  <c r="AW351" i="4"/>
  <c r="AP351" i="4"/>
  <c r="AX351" i="4" s="1"/>
  <c r="AO351" i="4"/>
  <c r="BH351" i="4" s="1"/>
  <c r="AB351" i="4" s="1"/>
  <c r="AK351" i="4"/>
  <c r="AJ351" i="4"/>
  <c r="AH351" i="4"/>
  <c r="AG351" i="4"/>
  <c r="AF351" i="4"/>
  <c r="AE351" i="4"/>
  <c r="AD351" i="4"/>
  <c r="Z351" i="4"/>
  <c r="J351" i="4"/>
  <c r="AL351" i="4" s="1"/>
  <c r="H351" i="4"/>
  <c r="BJ350" i="4"/>
  <c r="BF350" i="4"/>
  <c r="BD350" i="4"/>
  <c r="AP350" i="4"/>
  <c r="AX350" i="4" s="1"/>
  <c r="AO350" i="4"/>
  <c r="AW350" i="4" s="1"/>
  <c r="AK350" i="4"/>
  <c r="AJ350" i="4"/>
  <c r="AH350" i="4"/>
  <c r="AG350" i="4"/>
  <c r="AF350" i="4"/>
  <c r="AE350" i="4"/>
  <c r="AD350" i="4"/>
  <c r="Z350" i="4"/>
  <c r="J350" i="4"/>
  <c r="AL350" i="4" s="1"/>
  <c r="I350" i="4"/>
  <c r="H350" i="4"/>
  <c r="BJ349" i="4"/>
  <c r="BF349" i="4"/>
  <c r="BD349" i="4"/>
  <c r="AP349" i="4"/>
  <c r="AX349" i="4" s="1"/>
  <c r="AO349" i="4"/>
  <c r="BH349" i="4" s="1"/>
  <c r="AB349" i="4" s="1"/>
  <c r="AK349" i="4"/>
  <c r="AJ349" i="4"/>
  <c r="AH349" i="4"/>
  <c r="AG349" i="4"/>
  <c r="AF349" i="4"/>
  <c r="AE349" i="4"/>
  <c r="AD349" i="4"/>
  <c r="Z349" i="4"/>
  <c r="J349" i="4"/>
  <c r="AT348" i="4"/>
  <c r="BJ347" i="4"/>
  <c r="BF347" i="4"/>
  <c r="BD347" i="4"/>
  <c r="AX347" i="4"/>
  <c r="AP347" i="4"/>
  <c r="BI347" i="4" s="1"/>
  <c r="AC347" i="4" s="1"/>
  <c r="AO347" i="4"/>
  <c r="AW347" i="4" s="1"/>
  <c r="AL347" i="4"/>
  <c r="AK347" i="4"/>
  <c r="AJ347" i="4"/>
  <c r="AH347" i="4"/>
  <c r="AG347" i="4"/>
  <c r="AF347" i="4"/>
  <c r="AE347" i="4"/>
  <c r="AD347" i="4"/>
  <c r="Z347" i="4"/>
  <c r="J347" i="4"/>
  <c r="I347" i="4"/>
  <c r="BJ346" i="4"/>
  <c r="BF346" i="4"/>
  <c r="BD346" i="4"/>
  <c r="AP346" i="4"/>
  <c r="AX346" i="4" s="1"/>
  <c r="AO346" i="4"/>
  <c r="AK346" i="4"/>
  <c r="AJ346" i="4"/>
  <c r="AH346" i="4"/>
  <c r="AG346" i="4"/>
  <c r="AF346" i="4"/>
  <c r="AE346" i="4"/>
  <c r="AD346" i="4"/>
  <c r="Z346" i="4"/>
  <c r="J346" i="4"/>
  <c r="AL346" i="4" s="1"/>
  <c r="I346" i="4"/>
  <c r="BJ345" i="4"/>
  <c r="BF345" i="4"/>
  <c r="BD345" i="4"/>
  <c r="AP345" i="4"/>
  <c r="AO345" i="4"/>
  <c r="AW345" i="4" s="1"/>
  <c r="AK345" i="4"/>
  <c r="AJ345" i="4"/>
  <c r="AH345" i="4"/>
  <c r="AG345" i="4"/>
  <c r="AF345" i="4"/>
  <c r="AE345" i="4"/>
  <c r="AD345" i="4"/>
  <c r="Z345" i="4"/>
  <c r="J345" i="4"/>
  <c r="AL345" i="4" s="1"/>
  <c r="H345" i="4"/>
  <c r="BJ344" i="4"/>
  <c r="BF344" i="4"/>
  <c r="BD344" i="4"/>
  <c r="AP344" i="4"/>
  <c r="AX344" i="4" s="1"/>
  <c r="AO344" i="4"/>
  <c r="BH344" i="4" s="1"/>
  <c r="AB344" i="4" s="1"/>
  <c r="AK344" i="4"/>
  <c r="AJ344" i="4"/>
  <c r="AH344" i="4"/>
  <c r="AG344" i="4"/>
  <c r="AF344" i="4"/>
  <c r="AE344" i="4"/>
  <c r="AD344" i="4"/>
  <c r="Z344" i="4"/>
  <c r="J344" i="4"/>
  <c r="AL344" i="4" s="1"/>
  <c r="I344" i="4"/>
  <c r="H344" i="4"/>
  <c r="BJ343" i="4"/>
  <c r="BF343" i="4"/>
  <c r="BD343" i="4"/>
  <c r="AW343" i="4"/>
  <c r="AP343" i="4"/>
  <c r="BI343" i="4" s="1"/>
  <c r="AC343" i="4" s="1"/>
  <c r="AO343" i="4"/>
  <c r="BH343" i="4" s="1"/>
  <c r="AB343" i="4" s="1"/>
  <c r="AK343" i="4"/>
  <c r="AJ343" i="4"/>
  <c r="AH343" i="4"/>
  <c r="AG343" i="4"/>
  <c r="AF343" i="4"/>
  <c r="AE343" i="4"/>
  <c r="AD343" i="4"/>
  <c r="Z343" i="4"/>
  <c r="J343" i="4"/>
  <c r="AL343" i="4" s="1"/>
  <c r="I343" i="4"/>
  <c r="H343" i="4"/>
  <c r="BJ341" i="4"/>
  <c r="BF341" i="4"/>
  <c r="BD341" i="4"/>
  <c r="AW341" i="4"/>
  <c r="AP341" i="4"/>
  <c r="AX341" i="4" s="1"/>
  <c r="AO341" i="4"/>
  <c r="BH341" i="4" s="1"/>
  <c r="AB341" i="4" s="1"/>
  <c r="AK341" i="4"/>
  <c r="AJ341" i="4"/>
  <c r="AH341" i="4"/>
  <c r="AG341" i="4"/>
  <c r="AF341" i="4"/>
  <c r="AE341" i="4"/>
  <c r="AD341" i="4"/>
  <c r="Z341" i="4"/>
  <c r="J341" i="4"/>
  <c r="AL341" i="4" s="1"/>
  <c r="I341" i="4"/>
  <c r="H341" i="4"/>
  <c r="BJ340" i="4"/>
  <c r="BF340" i="4"/>
  <c r="BD340" i="4"/>
  <c r="AX340" i="4"/>
  <c r="AW340" i="4"/>
  <c r="AP340" i="4"/>
  <c r="BI340" i="4" s="1"/>
  <c r="AC340" i="4" s="1"/>
  <c r="AO340" i="4"/>
  <c r="BH340" i="4" s="1"/>
  <c r="AB340" i="4" s="1"/>
  <c r="AK340" i="4"/>
  <c r="AJ340" i="4"/>
  <c r="AH340" i="4"/>
  <c r="AG340" i="4"/>
  <c r="AF340" i="4"/>
  <c r="AE340" i="4"/>
  <c r="AD340" i="4"/>
  <c r="Z340" i="4"/>
  <c r="J340" i="4"/>
  <c r="AL340" i="4" s="1"/>
  <c r="I340" i="4"/>
  <c r="H340" i="4"/>
  <c r="BJ339" i="4"/>
  <c r="BF339" i="4"/>
  <c r="BD339" i="4"/>
  <c r="AX339" i="4"/>
  <c r="AP339" i="4"/>
  <c r="BI339" i="4" s="1"/>
  <c r="AC339" i="4" s="1"/>
  <c r="AO339" i="4"/>
  <c r="BH339" i="4" s="1"/>
  <c r="AB339" i="4" s="1"/>
  <c r="AK339" i="4"/>
  <c r="AJ339" i="4"/>
  <c r="AH339" i="4"/>
  <c r="AG339" i="4"/>
  <c r="AF339" i="4"/>
  <c r="AE339" i="4"/>
  <c r="AD339" i="4"/>
  <c r="Z339" i="4"/>
  <c r="J339" i="4"/>
  <c r="AL339" i="4" s="1"/>
  <c r="I339" i="4"/>
  <c r="I337" i="4" s="1"/>
  <c r="H339" i="4"/>
  <c r="BJ338" i="4"/>
  <c r="BF338" i="4"/>
  <c r="BD338" i="4"/>
  <c r="AP338" i="4"/>
  <c r="BI338" i="4" s="1"/>
  <c r="AC338" i="4" s="1"/>
  <c r="AO338" i="4"/>
  <c r="AW338" i="4" s="1"/>
  <c r="AK338" i="4"/>
  <c r="AT337" i="4" s="1"/>
  <c r="AJ338" i="4"/>
  <c r="AH338" i="4"/>
  <c r="AG338" i="4"/>
  <c r="AF338" i="4"/>
  <c r="AE338" i="4"/>
  <c r="AD338" i="4"/>
  <c r="Z338" i="4"/>
  <c r="J338" i="4"/>
  <c r="AL338" i="4" s="1"/>
  <c r="I338" i="4"/>
  <c r="BJ336" i="4"/>
  <c r="BF336" i="4"/>
  <c r="BD336" i="4"/>
  <c r="AX336" i="4"/>
  <c r="AP336" i="4"/>
  <c r="BI336" i="4" s="1"/>
  <c r="AC336" i="4" s="1"/>
  <c r="AO336" i="4"/>
  <c r="BH336" i="4" s="1"/>
  <c r="AB336" i="4" s="1"/>
  <c r="AK336" i="4"/>
  <c r="AJ336" i="4"/>
  <c r="AS335" i="4" s="1"/>
  <c r="AH336" i="4"/>
  <c r="AG336" i="4"/>
  <c r="AF336" i="4"/>
  <c r="AE336" i="4"/>
  <c r="AD336" i="4"/>
  <c r="Z336" i="4"/>
  <c r="J336" i="4"/>
  <c r="I336" i="4"/>
  <c r="I335" i="4" s="1"/>
  <c r="AT335" i="4"/>
  <c r="BJ334" i="4"/>
  <c r="Z334" i="4" s="1"/>
  <c r="BF334" i="4"/>
  <c r="BD334" i="4"/>
  <c r="AX334" i="4"/>
  <c r="AW334" i="4"/>
  <c r="AP334" i="4"/>
  <c r="BI334" i="4" s="1"/>
  <c r="AO334" i="4"/>
  <c r="BH334" i="4" s="1"/>
  <c r="AK334" i="4"/>
  <c r="AJ334" i="4"/>
  <c r="AH334" i="4"/>
  <c r="AG334" i="4"/>
  <c r="AF334" i="4"/>
  <c r="AE334" i="4"/>
  <c r="AD334" i="4"/>
  <c r="AC334" i="4"/>
  <c r="AB334" i="4"/>
  <c r="J334" i="4"/>
  <c r="AL334" i="4" s="1"/>
  <c r="I334" i="4"/>
  <c r="H334" i="4"/>
  <c r="BJ333" i="4"/>
  <c r="BF333" i="4"/>
  <c r="BD333" i="4"/>
  <c r="AX333" i="4"/>
  <c r="AP333" i="4"/>
  <c r="BI333" i="4" s="1"/>
  <c r="AE333" i="4" s="1"/>
  <c r="AO333" i="4"/>
  <c r="BH333" i="4" s="1"/>
  <c r="AD333" i="4" s="1"/>
  <c r="AK333" i="4"/>
  <c r="AJ333" i="4"/>
  <c r="AH333" i="4"/>
  <c r="AG333" i="4"/>
  <c r="AF333" i="4"/>
  <c r="AC333" i="4"/>
  <c r="AB333" i="4"/>
  <c r="Z333" i="4"/>
  <c r="J333" i="4"/>
  <c r="AL333" i="4" s="1"/>
  <c r="I333" i="4"/>
  <c r="BJ332" i="4"/>
  <c r="BF332" i="4"/>
  <c r="BD332" i="4"/>
  <c r="AP332" i="4"/>
  <c r="BI332" i="4" s="1"/>
  <c r="AE332" i="4" s="1"/>
  <c r="AO332" i="4"/>
  <c r="AW332" i="4" s="1"/>
  <c r="AK332" i="4"/>
  <c r="AJ332" i="4"/>
  <c r="AH332" i="4"/>
  <c r="AG332" i="4"/>
  <c r="AF332" i="4"/>
  <c r="AC332" i="4"/>
  <c r="AB332" i="4"/>
  <c r="Z332" i="4"/>
  <c r="J332" i="4"/>
  <c r="AL332" i="4" s="1"/>
  <c r="BJ330" i="4"/>
  <c r="Z330" i="4" s="1"/>
  <c r="BF330" i="4"/>
  <c r="BD330" i="4"/>
  <c r="AP330" i="4"/>
  <c r="BI330" i="4" s="1"/>
  <c r="AO330" i="4"/>
  <c r="H330" i="4" s="1"/>
  <c r="AK330" i="4"/>
  <c r="AJ330" i="4"/>
  <c r="AH330" i="4"/>
  <c r="AG330" i="4"/>
  <c r="AF330" i="4"/>
  <c r="AE330" i="4"/>
  <c r="AD330" i="4"/>
  <c r="AC330" i="4"/>
  <c r="AB330" i="4"/>
  <c r="J330" i="4"/>
  <c r="AL330" i="4" s="1"/>
  <c r="BJ329" i="4"/>
  <c r="BF329" i="4"/>
  <c r="BD329" i="4"/>
  <c r="AP329" i="4"/>
  <c r="I329" i="4" s="1"/>
  <c r="AO329" i="4"/>
  <c r="AW329" i="4" s="1"/>
  <c r="AK329" i="4"/>
  <c r="AJ329" i="4"/>
  <c r="AS328" i="4" s="1"/>
  <c r="AH329" i="4"/>
  <c r="AG329" i="4"/>
  <c r="AF329" i="4"/>
  <c r="AC329" i="4"/>
  <c r="AB329" i="4"/>
  <c r="Z329" i="4"/>
  <c r="J329" i="4"/>
  <c r="AL329" i="4" s="1"/>
  <c r="BJ327" i="4"/>
  <c r="BF327" i="4"/>
  <c r="BD327" i="4"/>
  <c r="AX327" i="4"/>
  <c r="AP327" i="4"/>
  <c r="BI327" i="4" s="1"/>
  <c r="AE327" i="4" s="1"/>
  <c r="AO327" i="4"/>
  <c r="BH327" i="4" s="1"/>
  <c r="AD327" i="4" s="1"/>
  <c r="AK327" i="4"/>
  <c r="AJ327" i="4"/>
  <c r="AH327" i="4"/>
  <c r="AG327" i="4"/>
  <c r="AF327" i="4"/>
  <c r="AC327" i="4"/>
  <c r="AB327" i="4"/>
  <c r="Z327" i="4"/>
  <c r="J327" i="4"/>
  <c r="AL327" i="4" s="1"/>
  <c r="I327" i="4"/>
  <c r="H327" i="4"/>
  <c r="BJ326" i="4"/>
  <c r="BF326" i="4"/>
  <c r="BD326" i="4"/>
  <c r="AP326" i="4"/>
  <c r="BI326" i="4" s="1"/>
  <c r="AE326" i="4" s="1"/>
  <c r="AO326" i="4"/>
  <c r="AW326" i="4" s="1"/>
  <c r="AK326" i="4"/>
  <c r="AJ326" i="4"/>
  <c r="AH326" i="4"/>
  <c r="AG326" i="4"/>
  <c r="AF326" i="4"/>
  <c r="AC326" i="4"/>
  <c r="AB326" i="4"/>
  <c r="Z326" i="4"/>
  <c r="J326" i="4"/>
  <c r="AL326" i="4" s="1"/>
  <c r="I326" i="4"/>
  <c r="BJ325" i="4"/>
  <c r="BF325" i="4"/>
  <c r="BD325" i="4"/>
  <c r="AP325" i="4"/>
  <c r="AO325" i="4"/>
  <c r="AW325" i="4" s="1"/>
  <c r="AK325" i="4"/>
  <c r="AJ325" i="4"/>
  <c r="AH325" i="4"/>
  <c r="AG325" i="4"/>
  <c r="AF325" i="4"/>
  <c r="AC325" i="4"/>
  <c r="AB325" i="4"/>
  <c r="Z325" i="4"/>
  <c r="J325" i="4"/>
  <c r="AL325" i="4" s="1"/>
  <c r="BJ324" i="4"/>
  <c r="BF324" i="4"/>
  <c r="BD324" i="4"/>
  <c r="AV324" i="4"/>
  <c r="AP324" i="4"/>
  <c r="AX324" i="4" s="1"/>
  <c r="AO324" i="4"/>
  <c r="AW324" i="4" s="1"/>
  <c r="AK324" i="4"/>
  <c r="AJ324" i="4"/>
  <c r="AH324" i="4"/>
  <c r="AG324" i="4"/>
  <c r="AF324" i="4"/>
  <c r="AC324" i="4"/>
  <c r="AB324" i="4"/>
  <c r="Z324" i="4"/>
  <c r="J324" i="4"/>
  <c r="AL324" i="4" s="1"/>
  <c r="I324" i="4"/>
  <c r="H324" i="4"/>
  <c r="BJ323" i="4"/>
  <c r="BF323" i="4"/>
  <c r="BD323" i="4"/>
  <c r="AW323" i="4"/>
  <c r="AP323" i="4"/>
  <c r="AO323" i="4"/>
  <c r="H323" i="4" s="1"/>
  <c r="AK323" i="4"/>
  <c r="AJ323" i="4"/>
  <c r="AH323" i="4"/>
  <c r="AG323" i="4"/>
  <c r="AF323" i="4"/>
  <c r="AC323" i="4"/>
  <c r="AB323" i="4"/>
  <c r="Z323" i="4"/>
  <c r="J323" i="4"/>
  <c r="AL323" i="4" s="1"/>
  <c r="BJ322" i="4"/>
  <c r="BF322" i="4"/>
  <c r="BD322" i="4"/>
  <c r="AP322" i="4"/>
  <c r="I322" i="4" s="1"/>
  <c r="AO322" i="4"/>
  <c r="AW322" i="4" s="1"/>
  <c r="AK322" i="4"/>
  <c r="AJ322" i="4"/>
  <c r="AH322" i="4"/>
  <c r="AG322" i="4"/>
  <c r="AF322" i="4"/>
  <c r="AC322" i="4"/>
  <c r="AB322" i="4"/>
  <c r="Z322" i="4"/>
  <c r="J322" i="4"/>
  <c r="BJ320" i="4"/>
  <c r="BF320" i="4"/>
  <c r="BD320" i="4"/>
  <c r="AP320" i="4"/>
  <c r="AX320" i="4" s="1"/>
  <c r="AO320" i="4"/>
  <c r="H320" i="4" s="1"/>
  <c r="AK320" i="4"/>
  <c r="AJ320" i="4"/>
  <c r="AH320" i="4"/>
  <c r="AG320" i="4"/>
  <c r="AF320" i="4"/>
  <c r="AC320" i="4"/>
  <c r="AB320" i="4"/>
  <c r="Z320" i="4"/>
  <c r="J320" i="4"/>
  <c r="AL320" i="4" s="1"/>
  <c r="I320" i="4"/>
  <c r="BJ319" i="4"/>
  <c r="BI319" i="4"/>
  <c r="AE319" i="4" s="1"/>
  <c r="BF319" i="4"/>
  <c r="BD319" i="4"/>
  <c r="AP319" i="4"/>
  <c r="I319" i="4" s="1"/>
  <c r="AO319" i="4"/>
  <c r="AW319" i="4" s="1"/>
  <c r="AK319" i="4"/>
  <c r="AJ319" i="4"/>
  <c r="AH319" i="4"/>
  <c r="AG319" i="4"/>
  <c r="AF319" i="4"/>
  <c r="AC319" i="4"/>
  <c r="AB319" i="4"/>
  <c r="Z319" i="4"/>
  <c r="J319" i="4"/>
  <c r="BJ318" i="4"/>
  <c r="BF318" i="4"/>
  <c r="BD318" i="4"/>
  <c r="AW318" i="4"/>
  <c r="AP318" i="4"/>
  <c r="AX318" i="4" s="1"/>
  <c r="AO318" i="4"/>
  <c r="BH318" i="4" s="1"/>
  <c r="AD318" i="4" s="1"/>
  <c r="AK318" i="4"/>
  <c r="AT317" i="4" s="1"/>
  <c r="AJ318" i="4"/>
  <c r="AH318" i="4"/>
  <c r="AG318" i="4"/>
  <c r="AF318" i="4"/>
  <c r="AC318" i="4"/>
  <c r="AB318" i="4"/>
  <c r="Z318" i="4"/>
  <c r="J318" i="4"/>
  <c r="AL318" i="4" s="1"/>
  <c r="I318" i="4"/>
  <c r="H318" i="4"/>
  <c r="BJ316" i="4"/>
  <c r="Z316" i="4" s="1"/>
  <c r="BF316" i="4"/>
  <c r="BD316" i="4"/>
  <c r="AP316" i="4"/>
  <c r="I316" i="4" s="1"/>
  <c r="AO316" i="4"/>
  <c r="AW316" i="4" s="1"/>
  <c r="AK316" i="4"/>
  <c r="AJ316" i="4"/>
  <c r="AH316" i="4"/>
  <c r="AG316" i="4"/>
  <c r="AF316" i="4"/>
  <c r="AE316" i="4"/>
  <c r="AD316" i="4"/>
  <c r="AC316" i="4"/>
  <c r="AB316" i="4"/>
  <c r="J316" i="4"/>
  <c r="AL316" i="4" s="1"/>
  <c r="H316" i="4"/>
  <c r="BJ315" i="4"/>
  <c r="BF315" i="4"/>
  <c r="BD315" i="4"/>
  <c r="AP315" i="4"/>
  <c r="AX315" i="4" s="1"/>
  <c r="AO315" i="4"/>
  <c r="BH315" i="4" s="1"/>
  <c r="AD315" i="4" s="1"/>
  <c r="AK315" i="4"/>
  <c r="AJ315" i="4"/>
  <c r="AH315" i="4"/>
  <c r="AG315" i="4"/>
  <c r="AF315" i="4"/>
  <c r="AC315" i="4"/>
  <c r="AB315" i="4"/>
  <c r="Z315" i="4"/>
  <c r="J315" i="4"/>
  <c r="AL315" i="4" s="1"/>
  <c r="I315" i="4"/>
  <c r="H315" i="4"/>
  <c r="BJ314" i="4"/>
  <c r="BF314" i="4"/>
  <c r="BD314" i="4"/>
  <c r="AX314" i="4"/>
  <c r="AW314" i="4"/>
  <c r="AP314" i="4"/>
  <c r="BI314" i="4" s="1"/>
  <c r="AE314" i="4" s="1"/>
  <c r="AO314" i="4"/>
  <c r="BH314" i="4" s="1"/>
  <c r="AD314" i="4" s="1"/>
  <c r="AK314" i="4"/>
  <c r="AJ314" i="4"/>
  <c r="AH314" i="4"/>
  <c r="AG314" i="4"/>
  <c r="AF314" i="4"/>
  <c r="AC314" i="4"/>
  <c r="AB314" i="4"/>
  <c r="Z314" i="4"/>
  <c r="J314" i="4"/>
  <c r="AL314" i="4" s="1"/>
  <c r="I314" i="4"/>
  <c r="BJ313" i="4"/>
  <c r="BF313" i="4"/>
  <c r="BD313" i="4"/>
  <c r="AP313" i="4"/>
  <c r="BI313" i="4" s="1"/>
  <c r="AE313" i="4" s="1"/>
  <c r="AO313" i="4"/>
  <c r="H313" i="4" s="1"/>
  <c r="AK313" i="4"/>
  <c r="AJ313" i="4"/>
  <c r="AH313" i="4"/>
  <c r="AG313" i="4"/>
  <c r="AF313" i="4"/>
  <c r="AC313" i="4"/>
  <c r="AB313" i="4"/>
  <c r="Z313" i="4"/>
  <c r="J313" i="4"/>
  <c r="BJ312" i="4"/>
  <c r="BF312" i="4"/>
  <c r="BD312" i="4"/>
  <c r="AP312" i="4"/>
  <c r="I312" i="4" s="1"/>
  <c r="AO312" i="4"/>
  <c r="AK312" i="4"/>
  <c r="AJ312" i="4"/>
  <c r="AS310" i="4" s="1"/>
  <c r="AH312" i="4"/>
  <c r="AG312" i="4"/>
  <c r="AF312" i="4"/>
  <c r="AC312" i="4"/>
  <c r="AB312" i="4"/>
  <c r="Z312" i="4"/>
  <c r="J312" i="4"/>
  <c r="AL312" i="4" s="1"/>
  <c r="BJ311" i="4"/>
  <c r="BF311" i="4"/>
  <c r="BD311" i="4"/>
  <c r="AP311" i="4"/>
  <c r="AO311" i="4"/>
  <c r="BH311" i="4" s="1"/>
  <c r="AD311" i="4" s="1"/>
  <c r="AK311" i="4"/>
  <c r="AJ311" i="4"/>
  <c r="AH311" i="4"/>
  <c r="AG311" i="4"/>
  <c r="AF311" i="4"/>
  <c r="AC311" i="4"/>
  <c r="AB311" i="4"/>
  <c r="Z311" i="4"/>
  <c r="J311" i="4"/>
  <c r="AL311" i="4" s="1"/>
  <c r="H311" i="4"/>
  <c r="BJ309" i="4"/>
  <c r="Z309" i="4" s="1"/>
  <c r="BF309" i="4"/>
  <c r="BD309" i="4"/>
  <c r="AP309" i="4"/>
  <c r="I309" i="4" s="1"/>
  <c r="AO309" i="4"/>
  <c r="AW309" i="4" s="1"/>
  <c r="AL309" i="4"/>
  <c r="AK309" i="4"/>
  <c r="AJ309" i="4"/>
  <c r="AH309" i="4"/>
  <c r="AG309" i="4"/>
  <c r="AF309" i="4"/>
  <c r="AE309" i="4"/>
  <c r="AD309" i="4"/>
  <c r="AC309" i="4"/>
  <c r="AB309" i="4"/>
  <c r="J309" i="4"/>
  <c r="H309" i="4"/>
  <c r="BJ308" i="4"/>
  <c r="BF308" i="4"/>
  <c r="BD308" i="4"/>
  <c r="AP308" i="4"/>
  <c r="AX308" i="4" s="1"/>
  <c r="AO308" i="4"/>
  <c r="BH308" i="4" s="1"/>
  <c r="AD308" i="4" s="1"/>
  <c r="AK308" i="4"/>
  <c r="AJ308" i="4"/>
  <c r="AH308" i="4"/>
  <c r="AG308" i="4"/>
  <c r="AF308" i="4"/>
  <c r="AC308" i="4"/>
  <c r="AB308" i="4"/>
  <c r="Z308" i="4"/>
  <c r="J308" i="4"/>
  <c r="AL308" i="4" s="1"/>
  <c r="H308" i="4"/>
  <c r="BJ307" i="4"/>
  <c r="BF307" i="4"/>
  <c r="BD307" i="4"/>
  <c r="AP307" i="4"/>
  <c r="BI307" i="4" s="1"/>
  <c r="AE307" i="4" s="1"/>
  <c r="AO307" i="4"/>
  <c r="AW307" i="4" s="1"/>
  <c r="AK307" i="4"/>
  <c r="AJ307" i="4"/>
  <c r="AS306" i="4" s="1"/>
  <c r="AH307" i="4"/>
  <c r="AG307" i="4"/>
  <c r="AF307" i="4"/>
  <c r="AC307" i="4"/>
  <c r="AB307" i="4"/>
  <c r="Z307" i="4"/>
  <c r="J307" i="4"/>
  <c r="BJ305" i="4"/>
  <c r="Z305" i="4" s="1"/>
  <c r="BF305" i="4"/>
  <c r="BD305" i="4"/>
  <c r="AP305" i="4"/>
  <c r="AO305" i="4"/>
  <c r="BH305" i="4" s="1"/>
  <c r="AK305" i="4"/>
  <c r="AJ305" i="4"/>
  <c r="AH305" i="4"/>
  <c r="AG305" i="4"/>
  <c r="AF305" i="4"/>
  <c r="AE305" i="4"/>
  <c r="AD305" i="4"/>
  <c r="AC305" i="4"/>
  <c r="AB305" i="4"/>
  <c r="J305" i="4"/>
  <c r="AL305" i="4" s="1"/>
  <c r="H305" i="4"/>
  <c r="BJ304" i="4"/>
  <c r="BF304" i="4"/>
  <c r="BD304" i="4"/>
  <c r="AP304" i="4"/>
  <c r="BI304" i="4" s="1"/>
  <c r="AE304" i="4" s="1"/>
  <c r="AO304" i="4"/>
  <c r="BH304" i="4" s="1"/>
  <c r="AD304" i="4" s="1"/>
  <c r="AK304" i="4"/>
  <c r="AJ304" i="4"/>
  <c r="AH304" i="4"/>
  <c r="AG304" i="4"/>
  <c r="AF304" i="4"/>
  <c r="AC304" i="4"/>
  <c r="AB304" i="4"/>
  <c r="Z304" i="4"/>
  <c r="J304" i="4"/>
  <c r="AL304" i="4" s="1"/>
  <c r="H304" i="4"/>
  <c r="BJ303" i="4"/>
  <c r="BF303" i="4"/>
  <c r="BD303" i="4"/>
  <c r="AP303" i="4"/>
  <c r="BI303" i="4" s="1"/>
  <c r="AE303" i="4" s="1"/>
  <c r="AO303" i="4"/>
  <c r="BH303" i="4" s="1"/>
  <c r="AD303" i="4" s="1"/>
  <c r="AK303" i="4"/>
  <c r="AJ303" i="4"/>
  <c r="AH303" i="4"/>
  <c r="AG303" i="4"/>
  <c r="AF303" i="4"/>
  <c r="AC303" i="4"/>
  <c r="AB303" i="4"/>
  <c r="Z303" i="4"/>
  <c r="J303" i="4"/>
  <c r="AL303" i="4" s="1"/>
  <c r="H303" i="4"/>
  <c r="BJ302" i="4"/>
  <c r="BF302" i="4"/>
  <c r="BD302" i="4"/>
  <c r="AP302" i="4"/>
  <c r="BI302" i="4" s="1"/>
  <c r="AE302" i="4" s="1"/>
  <c r="AO302" i="4"/>
  <c r="BH302" i="4" s="1"/>
  <c r="AD302" i="4" s="1"/>
  <c r="AK302" i="4"/>
  <c r="AJ302" i="4"/>
  <c r="AH302" i="4"/>
  <c r="AG302" i="4"/>
  <c r="AF302" i="4"/>
  <c r="AC302" i="4"/>
  <c r="AB302" i="4"/>
  <c r="Z302" i="4"/>
  <c r="J302" i="4"/>
  <c r="H302" i="4"/>
  <c r="BJ301" i="4"/>
  <c r="BF301" i="4"/>
  <c r="BD301" i="4"/>
  <c r="AX301" i="4"/>
  <c r="AP301" i="4"/>
  <c r="BI301" i="4" s="1"/>
  <c r="AE301" i="4" s="1"/>
  <c r="AO301" i="4"/>
  <c r="AW301" i="4" s="1"/>
  <c r="AV301" i="4" s="1"/>
  <c r="AK301" i="4"/>
  <c r="AJ301" i="4"/>
  <c r="AH301" i="4"/>
  <c r="AG301" i="4"/>
  <c r="AF301" i="4"/>
  <c r="AC301" i="4"/>
  <c r="AB301" i="4"/>
  <c r="Z301" i="4"/>
  <c r="J301" i="4"/>
  <c r="AL301" i="4" s="1"/>
  <c r="I301" i="4"/>
  <c r="AT300" i="4"/>
  <c r="BJ299" i="4"/>
  <c r="Z299" i="4" s="1"/>
  <c r="BF299" i="4"/>
  <c r="BD299" i="4"/>
  <c r="AP299" i="4"/>
  <c r="BI299" i="4" s="1"/>
  <c r="AO299" i="4"/>
  <c r="BH299" i="4" s="1"/>
  <c r="AK299" i="4"/>
  <c r="AJ299" i="4"/>
  <c r="AH299" i="4"/>
  <c r="AG299" i="4"/>
  <c r="AF299" i="4"/>
  <c r="AE299" i="4"/>
  <c r="AD299" i="4"/>
  <c r="AC299" i="4"/>
  <c r="AB299" i="4"/>
  <c r="J299" i="4"/>
  <c r="AL299" i="4" s="1"/>
  <c r="BJ298" i="4"/>
  <c r="BF298" i="4"/>
  <c r="BD298" i="4"/>
  <c r="AX298" i="4"/>
  <c r="AP298" i="4"/>
  <c r="BI298" i="4" s="1"/>
  <c r="AE298" i="4" s="1"/>
  <c r="AO298" i="4"/>
  <c r="AW298" i="4" s="1"/>
  <c r="AK298" i="4"/>
  <c r="AJ298" i="4"/>
  <c r="AH298" i="4"/>
  <c r="AG298" i="4"/>
  <c r="AF298" i="4"/>
  <c r="AC298" i="4"/>
  <c r="AB298" i="4"/>
  <c r="Z298" i="4"/>
  <c r="J298" i="4"/>
  <c r="AL298" i="4" s="1"/>
  <c r="I298" i="4"/>
  <c r="BJ297" i="4"/>
  <c r="BF297" i="4"/>
  <c r="BD297" i="4"/>
  <c r="AP297" i="4"/>
  <c r="AX297" i="4" s="1"/>
  <c r="AO297" i="4"/>
  <c r="AW297" i="4" s="1"/>
  <c r="AL297" i="4"/>
  <c r="AK297" i="4"/>
  <c r="AJ297" i="4"/>
  <c r="AH297" i="4"/>
  <c r="AG297" i="4"/>
  <c r="AF297" i="4"/>
  <c r="AC297" i="4"/>
  <c r="AB297" i="4"/>
  <c r="Z297" i="4"/>
  <c r="J297" i="4"/>
  <c r="BJ296" i="4"/>
  <c r="BF296" i="4"/>
  <c r="BD296" i="4"/>
  <c r="AP296" i="4"/>
  <c r="AX296" i="4" s="1"/>
  <c r="AO296" i="4"/>
  <c r="AW296" i="4" s="1"/>
  <c r="AK296" i="4"/>
  <c r="AJ296" i="4"/>
  <c r="AH296" i="4"/>
  <c r="AG296" i="4"/>
  <c r="AF296" i="4"/>
  <c r="AC296" i="4"/>
  <c r="AB296" i="4"/>
  <c r="Z296" i="4"/>
  <c r="J296" i="4"/>
  <c r="AL296" i="4" s="1"/>
  <c r="H296" i="4"/>
  <c r="BJ295" i="4"/>
  <c r="BF295" i="4"/>
  <c r="BD295" i="4"/>
  <c r="AP295" i="4"/>
  <c r="AX295" i="4" s="1"/>
  <c r="AO295" i="4"/>
  <c r="AK295" i="4"/>
  <c r="AJ295" i="4"/>
  <c r="AH295" i="4"/>
  <c r="AG295" i="4"/>
  <c r="AF295" i="4"/>
  <c r="AC295" i="4"/>
  <c r="AB295" i="4"/>
  <c r="Z295" i="4"/>
  <c r="J295" i="4"/>
  <c r="AL295" i="4" s="1"/>
  <c r="I295" i="4"/>
  <c r="BJ294" i="4"/>
  <c r="BF294" i="4"/>
  <c r="BD294" i="4"/>
  <c r="AP294" i="4"/>
  <c r="AO294" i="4"/>
  <c r="BH294" i="4" s="1"/>
  <c r="AD294" i="4" s="1"/>
  <c r="AK294" i="4"/>
  <c r="AJ294" i="4"/>
  <c r="AH294" i="4"/>
  <c r="AG294" i="4"/>
  <c r="AF294" i="4"/>
  <c r="AC294" i="4"/>
  <c r="AB294" i="4"/>
  <c r="Z294" i="4"/>
  <c r="J294" i="4"/>
  <c r="AL294" i="4" s="1"/>
  <c r="AU293" i="4" s="1"/>
  <c r="BJ292" i="4"/>
  <c r="Z292" i="4" s="1"/>
  <c r="BH292" i="4"/>
  <c r="BF292" i="4"/>
  <c r="BD292" i="4"/>
  <c r="AP292" i="4"/>
  <c r="AX292" i="4" s="1"/>
  <c r="AO292" i="4"/>
  <c r="AL292" i="4"/>
  <c r="AK292" i="4"/>
  <c r="AJ292" i="4"/>
  <c r="AH292" i="4"/>
  <c r="AG292" i="4"/>
  <c r="AF292" i="4"/>
  <c r="AE292" i="4"/>
  <c r="AD292" i="4"/>
  <c r="AC292" i="4"/>
  <c r="AB292" i="4"/>
  <c r="J292" i="4"/>
  <c r="BJ291" i="4"/>
  <c r="BI291" i="4"/>
  <c r="AE291" i="4" s="1"/>
  <c r="BF291" i="4"/>
  <c r="BD291" i="4"/>
  <c r="AP291" i="4"/>
  <c r="AO291" i="4"/>
  <c r="BH291" i="4" s="1"/>
  <c r="AD291" i="4" s="1"/>
  <c r="AK291" i="4"/>
  <c r="AJ291" i="4"/>
  <c r="AH291" i="4"/>
  <c r="AG291" i="4"/>
  <c r="AF291" i="4"/>
  <c r="AC291" i="4"/>
  <c r="AB291" i="4"/>
  <c r="Z291" i="4"/>
  <c r="J291" i="4"/>
  <c r="AL291" i="4" s="1"/>
  <c r="BJ290" i="4"/>
  <c r="BF290" i="4"/>
  <c r="BD290" i="4"/>
  <c r="AW290" i="4"/>
  <c r="AP290" i="4"/>
  <c r="BI290" i="4" s="1"/>
  <c r="AE290" i="4" s="1"/>
  <c r="AO290" i="4"/>
  <c r="BH290" i="4" s="1"/>
  <c r="AD290" i="4" s="1"/>
  <c r="AK290" i="4"/>
  <c r="AJ290" i="4"/>
  <c r="AH290" i="4"/>
  <c r="AG290" i="4"/>
  <c r="AF290" i="4"/>
  <c r="AC290" i="4"/>
  <c r="AB290" i="4"/>
  <c r="Z290" i="4"/>
  <c r="J290" i="4"/>
  <c r="AL290" i="4" s="1"/>
  <c r="H290" i="4"/>
  <c r="BJ289" i="4"/>
  <c r="BF289" i="4"/>
  <c r="BD289" i="4"/>
  <c r="AP289" i="4"/>
  <c r="BI289" i="4" s="1"/>
  <c r="AE289" i="4" s="1"/>
  <c r="AO289" i="4"/>
  <c r="BH289" i="4" s="1"/>
  <c r="AD289" i="4" s="1"/>
  <c r="AK289" i="4"/>
  <c r="AJ289" i="4"/>
  <c r="AH289" i="4"/>
  <c r="AG289" i="4"/>
  <c r="AF289" i="4"/>
  <c r="AC289" i="4"/>
  <c r="AB289" i="4"/>
  <c r="Z289" i="4"/>
  <c r="J289" i="4"/>
  <c r="AL289" i="4" s="1"/>
  <c r="H289" i="4"/>
  <c r="BJ288" i="4"/>
  <c r="BF288" i="4"/>
  <c r="BD288" i="4"/>
  <c r="AP288" i="4"/>
  <c r="BI288" i="4" s="1"/>
  <c r="AE288" i="4" s="1"/>
  <c r="AO288" i="4"/>
  <c r="BH288" i="4" s="1"/>
  <c r="AD288" i="4" s="1"/>
  <c r="AK288" i="4"/>
  <c r="AJ288" i="4"/>
  <c r="AH288" i="4"/>
  <c r="AG288" i="4"/>
  <c r="AF288" i="4"/>
  <c r="AC288" i="4"/>
  <c r="AB288" i="4"/>
  <c r="Z288" i="4"/>
  <c r="J288" i="4"/>
  <c r="AL288" i="4" s="1"/>
  <c r="H288" i="4"/>
  <c r="BJ287" i="4"/>
  <c r="BF287" i="4"/>
  <c r="BD287" i="4"/>
  <c r="AX287" i="4"/>
  <c r="AP287" i="4"/>
  <c r="BI287" i="4" s="1"/>
  <c r="AE287" i="4" s="1"/>
  <c r="AO287" i="4"/>
  <c r="AW287" i="4" s="1"/>
  <c r="AK287" i="4"/>
  <c r="AJ287" i="4"/>
  <c r="AH287" i="4"/>
  <c r="AG287" i="4"/>
  <c r="AF287" i="4"/>
  <c r="AC287" i="4"/>
  <c r="AB287" i="4"/>
  <c r="Z287" i="4"/>
  <c r="J287" i="4"/>
  <c r="AL287" i="4" s="1"/>
  <c r="I287" i="4"/>
  <c r="BJ286" i="4"/>
  <c r="BF286" i="4"/>
  <c r="BD286" i="4"/>
  <c r="AP286" i="4"/>
  <c r="AX286" i="4" s="1"/>
  <c r="AO286" i="4"/>
  <c r="AW286" i="4" s="1"/>
  <c r="AK286" i="4"/>
  <c r="AJ286" i="4"/>
  <c r="AH286" i="4"/>
  <c r="AG286" i="4"/>
  <c r="AF286" i="4"/>
  <c r="AC286" i="4"/>
  <c r="AB286" i="4"/>
  <c r="Z286" i="4"/>
  <c r="J286" i="4"/>
  <c r="AL286" i="4" s="1"/>
  <c r="BJ285" i="4"/>
  <c r="BF285" i="4"/>
  <c r="BD285" i="4"/>
  <c r="AP285" i="4"/>
  <c r="AX285" i="4" s="1"/>
  <c r="AO285" i="4"/>
  <c r="AW285" i="4" s="1"/>
  <c r="AK285" i="4"/>
  <c r="AJ285" i="4"/>
  <c r="AH285" i="4"/>
  <c r="AG285" i="4"/>
  <c r="AF285" i="4"/>
  <c r="AC285" i="4"/>
  <c r="AB285" i="4"/>
  <c r="Z285" i="4"/>
  <c r="J285" i="4"/>
  <c r="AL285" i="4" s="1"/>
  <c r="BJ284" i="4"/>
  <c r="BF284" i="4"/>
  <c r="BD284" i="4"/>
  <c r="AP284" i="4"/>
  <c r="AX284" i="4" s="1"/>
  <c r="AO284" i="4"/>
  <c r="AL284" i="4"/>
  <c r="AK284" i="4"/>
  <c r="AJ284" i="4"/>
  <c r="AH284" i="4"/>
  <c r="AG284" i="4"/>
  <c r="AF284" i="4"/>
  <c r="AC284" i="4"/>
  <c r="AB284" i="4"/>
  <c r="Z284" i="4"/>
  <c r="J284" i="4"/>
  <c r="I284" i="4"/>
  <c r="BJ283" i="4"/>
  <c r="BF283" i="4"/>
  <c r="BD283" i="4"/>
  <c r="AP283" i="4"/>
  <c r="AO283" i="4"/>
  <c r="AW283" i="4" s="1"/>
  <c r="AK283" i="4"/>
  <c r="AJ283" i="4"/>
  <c r="AH283" i="4"/>
  <c r="AG283" i="4"/>
  <c r="AF283" i="4"/>
  <c r="AC283" i="4"/>
  <c r="AB283" i="4"/>
  <c r="Z283" i="4"/>
  <c r="J283" i="4"/>
  <c r="AL283" i="4" s="1"/>
  <c r="H283" i="4"/>
  <c r="BJ282" i="4"/>
  <c r="BF282" i="4"/>
  <c r="BD282" i="4"/>
  <c r="AW282" i="4"/>
  <c r="AV282" i="4" s="1"/>
  <c r="AP282" i="4"/>
  <c r="AX282" i="4" s="1"/>
  <c r="BC282" i="4" s="1"/>
  <c r="AO282" i="4"/>
  <c r="BH282" i="4" s="1"/>
  <c r="AD282" i="4" s="1"/>
  <c r="AK282" i="4"/>
  <c r="AJ282" i="4"/>
  <c r="AH282" i="4"/>
  <c r="AG282" i="4"/>
  <c r="AF282" i="4"/>
  <c r="AC282" i="4"/>
  <c r="AB282" i="4"/>
  <c r="Z282" i="4"/>
  <c r="J282" i="4"/>
  <c r="AL282" i="4" s="1"/>
  <c r="H282" i="4"/>
  <c r="BJ281" i="4"/>
  <c r="BF281" i="4"/>
  <c r="BD281" i="4"/>
  <c r="AP281" i="4"/>
  <c r="BI281" i="4" s="1"/>
  <c r="AE281" i="4" s="1"/>
  <c r="AO281" i="4"/>
  <c r="BH281" i="4" s="1"/>
  <c r="AD281" i="4" s="1"/>
  <c r="AK281" i="4"/>
  <c r="AJ281" i="4"/>
  <c r="AH281" i="4"/>
  <c r="AG281" i="4"/>
  <c r="AF281" i="4"/>
  <c r="AC281" i="4"/>
  <c r="AB281" i="4"/>
  <c r="Z281" i="4"/>
  <c r="J281" i="4"/>
  <c r="AL281" i="4" s="1"/>
  <c r="H281" i="4"/>
  <c r="BJ280" i="4"/>
  <c r="BF280" i="4"/>
  <c r="BD280" i="4"/>
  <c r="AP280" i="4"/>
  <c r="BI280" i="4" s="1"/>
  <c r="AE280" i="4" s="1"/>
  <c r="AO280" i="4"/>
  <c r="BH280" i="4" s="1"/>
  <c r="AD280" i="4" s="1"/>
  <c r="AK280" i="4"/>
  <c r="AJ280" i="4"/>
  <c r="AH280" i="4"/>
  <c r="AG280" i="4"/>
  <c r="AF280" i="4"/>
  <c r="AC280" i="4"/>
  <c r="AB280" i="4"/>
  <c r="Z280" i="4"/>
  <c r="J280" i="4"/>
  <c r="AL280" i="4" s="1"/>
  <c r="H280" i="4"/>
  <c r="BJ279" i="4"/>
  <c r="BF279" i="4"/>
  <c r="BD279" i="4"/>
  <c r="AP279" i="4"/>
  <c r="BI279" i="4" s="1"/>
  <c r="AE279" i="4" s="1"/>
  <c r="AO279" i="4"/>
  <c r="AW279" i="4" s="1"/>
  <c r="AK279" i="4"/>
  <c r="AJ279" i="4"/>
  <c r="AH279" i="4"/>
  <c r="AG279" i="4"/>
  <c r="AF279" i="4"/>
  <c r="AC279" i="4"/>
  <c r="AB279" i="4"/>
  <c r="Z279" i="4"/>
  <c r="J279" i="4"/>
  <c r="AL279" i="4" s="1"/>
  <c r="BJ278" i="4"/>
  <c r="BF278" i="4"/>
  <c r="BD278" i="4"/>
  <c r="AP278" i="4"/>
  <c r="AX278" i="4" s="1"/>
  <c r="AO278" i="4"/>
  <c r="AW278" i="4" s="1"/>
  <c r="AK278" i="4"/>
  <c r="AJ278" i="4"/>
  <c r="AH278" i="4"/>
  <c r="AG278" i="4"/>
  <c r="AF278" i="4"/>
  <c r="AC278" i="4"/>
  <c r="AB278" i="4"/>
  <c r="Z278" i="4"/>
  <c r="J278" i="4"/>
  <c r="AL278" i="4" s="1"/>
  <c r="BJ277" i="4"/>
  <c r="BF277" i="4"/>
  <c r="BD277" i="4"/>
  <c r="AP277" i="4"/>
  <c r="AX277" i="4" s="1"/>
  <c r="AO277" i="4"/>
  <c r="AW277" i="4" s="1"/>
  <c r="AK277" i="4"/>
  <c r="AJ277" i="4"/>
  <c r="AH277" i="4"/>
  <c r="AG277" i="4"/>
  <c r="AF277" i="4"/>
  <c r="AC277" i="4"/>
  <c r="AB277" i="4"/>
  <c r="Z277" i="4"/>
  <c r="J277" i="4"/>
  <c r="AL277" i="4" s="1"/>
  <c r="BJ276" i="4"/>
  <c r="BF276" i="4"/>
  <c r="BD276" i="4"/>
  <c r="AP276" i="4"/>
  <c r="AX276" i="4" s="1"/>
  <c r="AO276" i="4"/>
  <c r="H276" i="4" s="1"/>
  <c r="AL276" i="4"/>
  <c r="AK276" i="4"/>
  <c r="AJ276" i="4"/>
  <c r="AH276" i="4"/>
  <c r="AG276" i="4"/>
  <c r="AF276" i="4"/>
  <c r="AC276" i="4"/>
  <c r="AB276" i="4"/>
  <c r="Z276" i="4"/>
  <c r="J276" i="4"/>
  <c r="I276" i="4"/>
  <c r="BJ275" i="4"/>
  <c r="BI275" i="4"/>
  <c r="AE275" i="4" s="1"/>
  <c r="BF275" i="4"/>
  <c r="BD275" i="4"/>
  <c r="AP275" i="4"/>
  <c r="I275" i="4" s="1"/>
  <c r="AO275" i="4"/>
  <c r="AW275" i="4" s="1"/>
  <c r="AK275" i="4"/>
  <c r="AJ275" i="4"/>
  <c r="AH275" i="4"/>
  <c r="AG275" i="4"/>
  <c r="AF275" i="4"/>
  <c r="AC275" i="4"/>
  <c r="AB275" i="4"/>
  <c r="Z275" i="4"/>
  <c r="J275" i="4"/>
  <c r="AL275" i="4" s="1"/>
  <c r="BJ274" i="4"/>
  <c r="BF274" i="4"/>
  <c r="BD274" i="4"/>
  <c r="AW274" i="4"/>
  <c r="AP274" i="4"/>
  <c r="AX274" i="4" s="1"/>
  <c r="AO274" i="4"/>
  <c r="BH274" i="4" s="1"/>
  <c r="AD274" i="4" s="1"/>
  <c r="AK274" i="4"/>
  <c r="AJ274" i="4"/>
  <c r="AH274" i="4"/>
  <c r="AG274" i="4"/>
  <c r="AF274" i="4"/>
  <c r="AC274" i="4"/>
  <c r="AB274" i="4"/>
  <c r="Z274" i="4"/>
  <c r="J274" i="4"/>
  <c r="AL274" i="4" s="1"/>
  <c r="I274" i="4"/>
  <c r="BJ273" i="4"/>
  <c r="BF273" i="4"/>
  <c r="BD273" i="4"/>
  <c r="AX273" i="4"/>
  <c r="AW273" i="4"/>
  <c r="AP273" i="4"/>
  <c r="BI273" i="4" s="1"/>
  <c r="AE273" i="4" s="1"/>
  <c r="AO273" i="4"/>
  <c r="BH273" i="4" s="1"/>
  <c r="AD273" i="4" s="1"/>
  <c r="AK273" i="4"/>
  <c r="AJ273" i="4"/>
  <c r="AH273" i="4"/>
  <c r="AG273" i="4"/>
  <c r="AF273" i="4"/>
  <c r="AC273" i="4"/>
  <c r="AB273" i="4"/>
  <c r="Z273" i="4"/>
  <c r="J273" i="4"/>
  <c r="AL273" i="4" s="1"/>
  <c r="I273" i="4"/>
  <c r="H273" i="4"/>
  <c r="BJ272" i="4"/>
  <c r="BF272" i="4"/>
  <c r="BD272" i="4"/>
  <c r="AX272" i="4"/>
  <c r="BC272" i="4" s="1"/>
  <c r="AW272" i="4"/>
  <c r="AP272" i="4"/>
  <c r="BI272" i="4" s="1"/>
  <c r="AE272" i="4" s="1"/>
  <c r="AO272" i="4"/>
  <c r="BH272" i="4" s="1"/>
  <c r="AD272" i="4" s="1"/>
  <c r="AK272" i="4"/>
  <c r="AJ272" i="4"/>
  <c r="AH272" i="4"/>
  <c r="AG272" i="4"/>
  <c r="AF272" i="4"/>
  <c r="AC272" i="4"/>
  <c r="AB272" i="4"/>
  <c r="Z272" i="4"/>
  <c r="J272" i="4"/>
  <c r="AL272" i="4" s="1"/>
  <c r="I272" i="4"/>
  <c r="H272" i="4"/>
  <c r="BJ271" i="4"/>
  <c r="BF271" i="4"/>
  <c r="BD271" i="4"/>
  <c r="AX271" i="4"/>
  <c r="AP271" i="4"/>
  <c r="I271" i="4" s="1"/>
  <c r="AO271" i="4"/>
  <c r="AK271" i="4"/>
  <c r="AJ271" i="4"/>
  <c r="AH271" i="4"/>
  <c r="AG271" i="4"/>
  <c r="AF271" i="4"/>
  <c r="AC271" i="4"/>
  <c r="AB271" i="4"/>
  <c r="Z271" i="4"/>
  <c r="J271" i="4"/>
  <c r="AL271" i="4" s="1"/>
  <c r="BJ270" i="4"/>
  <c r="BF270" i="4"/>
  <c r="BD270" i="4"/>
  <c r="AP270" i="4"/>
  <c r="AO270" i="4"/>
  <c r="AW270" i="4" s="1"/>
  <c r="AK270" i="4"/>
  <c r="AJ270" i="4"/>
  <c r="AH270" i="4"/>
  <c r="AG270" i="4"/>
  <c r="AF270" i="4"/>
  <c r="AC270" i="4"/>
  <c r="AB270" i="4"/>
  <c r="Z270" i="4"/>
  <c r="J270" i="4"/>
  <c r="AL270" i="4" s="1"/>
  <c r="BJ269" i="4"/>
  <c r="BF269" i="4"/>
  <c r="BD269" i="4"/>
  <c r="AV269" i="4"/>
  <c r="AP269" i="4"/>
  <c r="AX269" i="4" s="1"/>
  <c r="AO269" i="4"/>
  <c r="AW269" i="4" s="1"/>
  <c r="AK269" i="4"/>
  <c r="AJ269" i="4"/>
  <c r="AH269" i="4"/>
  <c r="AG269" i="4"/>
  <c r="AF269" i="4"/>
  <c r="AC269" i="4"/>
  <c r="AB269" i="4"/>
  <c r="Z269" i="4"/>
  <c r="J269" i="4"/>
  <c r="AL269" i="4" s="1"/>
  <c r="H269" i="4"/>
  <c r="BJ268" i="4"/>
  <c r="BF268" i="4"/>
  <c r="BD268" i="4"/>
  <c r="AP268" i="4"/>
  <c r="AX268" i="4" s="1"/>
  <c r="AO268" i="4"/>
  <c r="H268" i="4" s="1"/>
  <c r="AL268" i="4"/>
  <c r="AK268" i="4"/>
  <c r="AJ268" i="4"/>
  <c r="AH268" i="4"/>
  <c r="AG268" i="4"/>
  <c r="AF268" i="4"/>
  <c r="AC268" i="4"/>
  <c r="AB268" i="4"/>
  <c r="Z268" i="4"/>
  <c r="J268" i="4"/>
  <c r="I268" i="4"/>
  <c r="BJ267" i="4"/>
  <c r="BF267" i="4"/>
  <c r="BD267" i="4"/>
  <c r="AP267" i="4"/>
  <c r="I267" i="4" s="1"/>
  <c r="AO267" i="4"/>
  <c r="AW267" i="4" s="1"/>
  <c r="AK267" i="4"/>
  <c r="AJ267" i="4"/>
  <c r="AH267" i="4"/>
  <c r="AG267" i="4"/>
  <c r="AF267" i="4"/>
  <c r="AC267" i="4"/>
  <c r="AB267" i="4"/>
  <c r="Z267" i="4"/>
  <c r="J267" i="4"/>
  <c r="AL267" i="4" s="1"/>
  <c r="H267" i="4"/>
  <c r="BJ266" i="4"/>
  <c r="BF266" i="4"/>
  <c r="BD266" i="4"/>
  <c r="AP266" i="4"/>
  <c r="AX266" i="4" s="1"/>
  <c r="AO266" i="4"/>
  <c r="BH266" i="4" s="1"/>
  <c r="AD266" i="4" s="1"/>
  <c r="AK266" i="4"/>
  <c r="AJ266" i="4"/>
  <c r="AH266" i="4"/>
  <c r="AG266" i="4"/>
  <c r="AF266" i="4"/>
  <c r="AC266" i="4"/>
  <c r="AB266" i="4"/>
  <c r="Z266" i="4"/>
  <c r="J266" i="4"/>
  <c r="AL266" i="4" s="1"/>
  <c r="H266" i="4"/>
  <c r="BJ265" i="4"/>
  <c r="BF265" i="4"/>
  <c r="BD265" i="4"/>
  <c r="AP265" i="4"/>
  <c r="BI265" i="4" s="1"/>
  <c r="AE265" i="4" s="1"/>
  <c r="AO265" i="4"/>
  <c r="BH265" i="4" s="1"/>
  <c r="AD265" i="4" s="1"/>
  <c r="AK265" i="4"/>
  <c r="AJ265" i="4"/>
  <c r="AH265" i="4"/>
  <c r="AG265" i="4"/>
  <c r="AF265" i="4"/>
  <c r="AC265" i="4"/>
  <c r="AB265" i="4"/>
  <c r="Z265" i="4"/>
  <c r="J265" i="4"/>
  <c r="AL265" i="4" s="1"/>
  <c r="H265" i="4"/>
  <c r="BJ264" i="4"/>
  <c r="BF264" i="4"/>
  <c r="BD264" i="4"/>
  <c r="AW264" i="4"/>
  <c r="AP264" i="4"/>
  <c r="BI264" i="4" s="1"/>
  <c r="AE264" i="4" s="1"/>
  <c r="AO264" i="4"/>
  <c r="H264" i="4" s="1"/>
  <c r="AK264" i="4"/>
  <c r="AJ264" i="4"/>
  <c r="AH264" i="4"/>
  <c r="AG264" i="4"/>
  <c r="AF264" i="4"/>
  <c r="AC264" i="4"/>
  <c r="AB264" i="4"/>
  <c r="Z264" i="4"/>
  <c r="J264" i="4"/>
  <c r="AL264" i="4" s="1"/>
  <c r="I264" i="4"/>
  <c r="BJ263" i="4"/>
  <c r="BH263" i="4"/>
  <c r="BF263" i="4"/>
  <c r="BD263" i="4"/>
  <c r="AX263" i="4"/>
  <c r="AP263" i="4"/>
  <c r="I263" i="4" s="1"/>
  <c r="AO263" i="4"/>
  <c r="AK263" i="4"/>
  <c r="AJ263" i="4"/>
  <c r="AH263" i="4"/>
  <c r="AG263" i="4"/>
  <c r="AF263" i="4"/>
  <c r="AD263" i="4"/>
  <c r="AC263" i="4"/>
  <c r="AB263" i="4"/>
  <c r="Z263" i="4"/>
  <c r="J263" i="4"/>
  <c r="AL263" i="4" s="1"/>
  <c r="BJ262" i="4"/>
  <c r="BF262" i="4"/>
  <c r="BD262" i="4"/>
  <c r="AP262" i="4"/>
  <c r="BI262" i="4" s="1"/>
  <c r="AE262" i="4" s="1"/>
  <c r="AO262" i="4"/>
  <c r="AW262" i="4" s="1"/>
  <c r="AL262" i="4"/>
  <c r="AK262" i="4"/>
  <c r="AJ262" i="4"/>
  <c r="AH262" i="4"/>
  <c r="AG262" i="4"/>
  <c r="AF262" i="4"/>
  <c r="AC262" i="4"/>
  <c r="AB262" i="4"/>
  <c r="Z262" i="4"/>
  <c r="J262" i="4"/>
  <c r="BJ261" i="4"/>
  <c r="BF261" i="4"/>
  <c r="BD261" i="4"/>
  <c r="AP261" i="4"/>
  <c r="AX261" i="4" s="1"/>
  <c r="AO261" i="4"/>
  <c r="AW261" i="4" s="1"/>
  <c r="AK261" i="4"/>
  <c r="AJ261" i="4"/>
  <c r="AH261" i="4"/>
  <c r="AG261" i="4"/>
  <c r="AF261" i="4"/>
  <c r="AC261" i="4"/>
  <c r="AB261" i="4"/>
  <c r="Z261" i="4"/>
  <c r="J261" i="4"/>
  <c r="AL261" i="4" s="1"/>
  <c r="BJ260" i="4"/>
  <c r="BI260" i="4"/>
  <c r="AE260" i="4" s="1"/>
  <c r="BH260" i="4"/>
  <c r="AD260" i="4" s="1"/>
  <c r="BF260" i="4"/>
  <c r="BD260" i="4"/>
  <c r="AW260" i="4"/>
  <c r="AP260" i="4"/>
  <c r="AX260" i="4" s="1"/>
  <c r="AO260" i="4"/>
  <c r="AK260" i="4"/>
  <c r="AJ260" i="4"/>
  <c r="AH260" i="4"/>
  <c r="AG260" i="4"/>
  <c r="AF260" i="4"/>
  <c r="AC260" i="4"/>
  <c r="AB260" i="4"/>
  <c r="Z260" i="4"/>
  <c r="J260" i="4"/>
  <c r="AL260" i="4" s="1"/>
  <c r="I260" i="4"/>
  <c r="H260" i="4"/>
  <c r="BJ259" i="4"/>
  <c r="BF259" i="4"/>
  <c r="BD259" i="4"/>
  <c r="AP259" i="4"/>
  <c r="BI259" i="4" s="1"/>
  <c r="AE259" i="4" s="1"/>
  <c r="AO259" i="4"/>
  <c r="BH259" i="4" s="1"/>
  <c r="AD259" i="4" s="1"/>
  <c r="AK259" i="4"/>
  <c r="AJ259" i="4"/>
  <c r="AH259" i="4"/>
  <c r="AG259" i="4"/>
  <c r="AF259" i="4"/>
  <c r="AC259" i="4"/>
  <c r="AB259" i="4"/>
  <c r="Z259" i="4"/>
  <c r="J259" i="4"/>
  <c r="AL259" i="4" s="1"/>
  <c r="I259" i="4"/>
  <c r="H259" i="4"/>
  <c r="BJ258" i="4"/>
  <c r="BF258" i="4"/>
  <c r="BD258" i="4"/>
  <c r="AP258" i="4"/>
  <c r="BI258" i="4" s="1"/>
  <c r="AO258" i="4"/>
  <c r="BH258" i="4" s="1"/>
  <c r="AD258" i="4" s="1"/>
  <c r="AK258" i="4"/>
  <c r="AJ258" i="4"/>
  <c r="AH258" i="4"/>
  <c r="AG258" i="4"/>
  <c r="AF258" i="4"/>
  <c r="AE258" i="4"/>
  <c r="AC258" i="4"/>
  <c r="AB258" i="4"/>
  <c r="Z258" i="4"/>
  <c r="J258" i="4"/>
  <c r="I258" i="4"/>
  <c r="H258" i="4"/>
  <c r="BJ256" i="4"/>
  <c r="Z256" i="4" s="1"/>
  <c r="BF256" i="4"/>
  <c r="BD256" i="4"/>
  <c r="AP256" i="4"/>
  <c r="BI256" i="4" s="1"/>
  <c r="AO256" i="4"/>
  <c r="BH256" i="4" s="1"/>
  <c r="AK256" i="4"/>
  <c r="AJ256" i="4"/>
  <c r="AH256" i="4"/>
  <c r="AG256" i="4"/>
  <c r="AF256" i="4"/>
  <c r="AE256" i="4"/>
  <c r="AD256" i="4"/>
  <c r="AC256" i="4"/>
  <c r="AB256" i="4"/>
  <c r="J256" i="4"/>
  <c r="AL256" i="4" s="1"/>
  <c r="I256" i="4"/>
  <c r="H256" i="4"/>
  <c r="BJ255" i="4"/>
  <c r="BF255" i="4"/>
  <c r="BD255" i="4"/>
  <c r="AW255" i="4"/>
  <c r="AP255" i="4"/>
  <c r="AX255" i="4" s="1"/>
  <c r="AO255" i="4"/>
  <c r="BH255" i="4" s="1"/>
  <c r="AD255" i="4" s="1"/>
  <c r="AK255" i="4"/>
  <c r="AJ255" i="4"/>
  <c r="AH255" i="4"/>
  <c r="AG255" i="4"/>
  <c r="AF255" i="4"/>
  <c r="AC255" i="4"/>
  <c r="AB255" i="4"/>
  <c r="Z255" i="4"/>
  <c r="J255" i="4"/>
  <c r="AL255" i="4" s="1"/>
  <c r="I255" i="4"/>
  <c r="H255" i="4"/>
  <c r="BJ254" i="4"/>
  <c r="BF254" i="4"/>
  <c r="BD254" i="4"/>
  <c r="AW254" i="4"/>
  <c r="AP254" i="4"/>
  <c r="BI254" i="4" s="1"/>
  <c r="AE254" i="4" s="1"/>
  <c r="AO254" i="4"/>
  <c r="BH254" i="4" s="1"/>
  <c r="AD254" i="4" s="1"/>
  <c r="AK254" i="4"/>
  <c r="AJ254" i="4"/>
  <c r="AH254" i="4"/>
  <c r="AG254" i="4"/>
  <c r="AF254" i="4"/>
  <c r="AC254" i="4"/>
  <c r="AB254" i="4"/>
  <c r="Z254" i="4"/>
  <c r="J254" i="4"/>
  <c r="AL254" i="4" s="1"/>
  <c r="H254" i="4"/>
  <c r="BJ253" i="4"/>
  <c r="BF253" i="4"/>
  <c r="BD253" i="4"/>
  <c r="AP253" i="4"/>
  <c r="BI253" i="4" s="1"/>
  <c r="AE253" i="4" s="1"/>
  <c r="AO253" i="4"/>
  <c r="AW253" i="4" s="1"/>
  <c r="AK253" i="4"/>
  <c r="AJ253" i="4"/>
  <c r="AH253" i="4"/>
  <c r="AG253" i="4"/>
  <c r="AF253" i="4"/>
  <c r="AC253" i="4"/>
  <c r="AB253" i="4"/>
  <c r="Z253" i="4"/>
  <c r="J253" i="4"/>
  <c r="AL253" i="4" s="1"/>
  <c r="BJ252" i="4"/>
  <c r="BI252" i="4"/>
  <c r="AE252" i="4" s="1"/>
  <c r="BF252" i="4"/>
  <c r="BD252" i="4"/>
  <c r="AP252" i="4"/>
  <c r="AX252" i="4" s="1"/>
  <c r="AO252" i="4"/>
  <c r="AK252" i="4"/>
  <c r="AJ252" i="4"/>
  <c r="AH252" i="4"/>
  <c r="AG252" i="4"/>
  <c r="AF252" i="4"/>
  <c r="AC252" i="4"/>
  <c r="AB252" i="4"/>
  <c r="Z252" i="4"/>
  <c r="J252" i="4"/>
  <c r="AL252" i="4" s="1"/>
  <c r="BJ251" i="4"/>
  <c r="BI251" i="4"/>
  <c r="AE251" i="4" s="1"/>
  <c r="BH251" i="4"/>
  <c r="AD251" i="4" s="1"/>
  <c r="BF251" i="4"/>
  <c r="BD251" i="4"/>
  <c r="AX251" i="4"/>
  <c r="AP251" i="4"/>
  <c r="I251" i="4" s="1"/>
  <c r="AO251" i="4"/>
  <c r="AW251" i="4" s="1"/>
  <c r="BC251" i="4" s="1"/>
  <c r="AL251" i="4"/>
  <c r="AK251" i="4"/>
  <c r="AJ251" i="4"/>
  <c r="AH251" i="4"/>
  <c r="AG251" i="4"/>
  <c r="AF251" i="4"/>
  <c r="AC251" i="4"/>
  <c r="AB251" i="4"/>
  <c r="Z251" i="4"/>
  <c r="J251" i="4"/>
  <c r="BJ250" i="4"/>
  <c r="BF250" i="4"/>
  <c r="BD250" i="4"/>
  <c r="AW250" i="4"/>
  <c r="BC250" i="4" s="1"/>
  <c r="AP250" i="4"/>
  <c r="AX250" i="4" s="1"/>
  <c r="AO250" i="4"/>
  <c r="BH250" i="4" s="1"/>
  <c r="AD250" i="4" s="1"/>
  <c r="AK250" i="4"/>
  <c r="AJ250" i="4"/>
  <c r="AH250" i="4"/>
  <c r="AG250" i="4"/>
  <c r="AF250" i="4"/>
  <c r="AC250" i="4"/>
  <c r="AB250" i="4"/>
  <c r="Z250" i="4"/>
  <c r="J250" i="4"/>
  <c r="AL250" i="4" s="1"/>
  <c r="I250" i="4"/>
  <c r="H250" i="4"/>
  <c r="BJ249" i="4"/>
  <c r="BH249" i="4"/>
  <c r="AD249" i="4" s="1"/>
  <c r="BF249" i="4"/>
  <c r="BD249" i="4"/>
  <c r="AP249" i="4"/>
  <c r="AX249" i="4" s="1"/>
  <c r="AO249" i="4"/>
  <c r="AW249" i="4" s="1"/>
  <c r="AV249" i="4" s="1"/>
  <c r="AL249" i="4"/>
  <c r="AK249" i="4"/>
  <c r="AJ249" i="4"/>
  <c r="AH249" i="4"/>
  <c r="AG249" i="4"/>
  <c r="AF249" i="4"/>
  <c r="AC249" i="4"/>
  <c r="AB249" i="4"/>
  <c r="Z249" i="4"/>
  <c r="J249" i="4"/>
  <c r="H249" i="4"/>
  <c r="BJ248" i="4"/>
  <c r="BF248" i="4"/>
  <c r="BD248" i="4"/>
  <c r="AX248" i="4"/>
  <c r="AP248" i="4"/>
  <c r="BI248" i="4" s="1"/>
  <c r="AE248" i="4" s="1"/>
  <c r="AO248" i="4"/>
  <c r="AW248" i="4" s="1"/>
  <c r="AK248" i="4"/>
  <c r="AJ248" i="4"/>
  <c r="AH248" i="4"/>
  <c r="AG248" i="4"/>
  <c r="AF248" i="4"/>
  <c r="AC248" i="4"/>
  <c r="AB248" i="4"/>
  <c r="Z248" i="4"/>
  <c r="J248" i="4"/>
  <c r="AL248" i="4" s="1"/>
  <c r="I248" i="4"/>
  <c r="BJ247" i="4"/>
  <c r="BH247" i="4"/>
  <c r="AD247" i="4" s="1"/>
  <c r="BF247" i="4"/>
  <c r="BD247" i="4"/>
  <c r="AP247" i="4"/>
  <c r="AX247" i="4" s="1"/>
  <c r="AO247" i="4"/>
  <c r="AK247" i="4"/>
  <c r="AJ247" i="4"/>
  <c r="AH247" i="4"/>
  <c r="AG247" i="4"/>
  <c r="AF247" i="4"/>
  <c r="AC247" i="4"/>
  <c r="AB247" i="4"/>
  <c r="Z247" i="4"/>
  <c r="J247" i="4"/>
  <c r="AL247" i="4" s="1"/>
  <c r="BJ246" i="4"/>
  <c r="BF246" i="4"/>
  <c r="BD246" i="4"/>
  <c r="AP246" i="4"/>
  <c r="BI246" i="4" s="1"/>
  <c r="AE246" i="4" s="1"/>
  <c r="AO246" i="4"/>
  <c r="AW246" i="4" s="1"/>
  <c r="AK246" i="4"/>
  <c r="AJ246" i="4"/>
  <c r="AH246" i="4"/>
  <c r="AG246" i="4"/>
  <c r="AF246" i="4"/>
  <c r="AC246" i="4"/>
  <c r="AB246" i="4"/>
  <c r="Z246" i="4"/>
  <c r="J246" i="4"/>
  <c r="AL246" i="4" s="1"/>
  <c r="BJ245" i="4"/>
  <c r="BF245" i="4"/>
  <c r="BD245" i="4"/>
  <c r="AW245" i="4"/>
  <c r="AV245" i="4" s="1"/>
  <c r="AP245" i="4"/>
  <c r="AX245" i="4" s="1"/>
  <c r="AO245" i="4"/>
  <c r="BH245" i="4" s="1"/>
  <c r="AD245" i="4" s="1"/>
  <c r="AL245" i="4"/>
  <c r="AK245" i="4"/>
  <c r="AJ245" i="4"/>
  <c r="AH245" i="4"/>
  <c r="AG245" i="4"/>
  <c r="AF245" i="4"/>
  <c r="AC245" i="4"/>
  <c r="AB245" i="4"/>
  <c r="Z245" i="4"/>
  <c r="J245" i="4"/>
  <c r="I245" i="4"/>
  <c r="H245" i="4"/>
  <c r="BJ244" i="4"/>
  <c r="BF244" i="4"/>
  <c r="BD244" i="4"/>
  <c r="AP244" i="4"/>
  <c r="BI244" i="4" s="1"/>
  <c r="AE244" i="4" s="1"/>
  <c r="AO244" i="4"/>
  <c r="BH244" i="4" s="1"/>
  <c r="AD244" i="4" s="1"/>
  <c r="AK244" i="4"/>
  <c r="AJ244" i="4"/>
  <c r="AH244" i="4"/>
  <c r="AG244" i="4"/>
  <c r="AF244" i="4"/>
  <c r="AC244" i="4"/>
  <c r="AB244" i="4"/>
  <c r="Z244" i="4"/>
  <c r="J244" i="4"/>
  <c r="AL244" i="4" s="1"/>
  <c r="BJ243" i="4"/>
  <c r="BF243" i="4"/>
  <c r="BD243" i="4"/>
  <c r="AP243" i="4"/>
  <c r="BI243" i="4" s="1"/>
  <c r="AE243" i="4" s="1"/>
  <c r="AO243" i="4"/>
  <c r="H243" i="4" s="1"/>
  <c r="AK243" i="4"/>
  <c r="AJ243" i="4"/>
  <c r="AH243" i="4"/>
  <c r="AG243" i="4"/>
  <c r="AF243" i="4"/>
  <c r="AC243" i="4"/>
  <c r="AB243" i="4"/>
  <c r="Z243" i="4"/>
  <c r="J243" i="4"/>
  <c r="AL243" i="4" s="1"/>
  <c r="BJ242" i="4"/>
  <c r="BF242" i="4"/>
  <c r="BD242" i="4"/>
  <c r="BC242" i="4"/>
  <c r="AX242" i="4"/>
  <c r="AP242" i="4"/>
  <c r="I242" i="4" s="1"/>
  <c r="AO242" i="4"/>
  <c r="AW242" i="4" s="1"/>
  <c r="AK242" i="4"/>
  <c r="AJ242" i="4"/>
  <c r="AH242" i="4"/>
  <c r="AG242" i="4"/>
  <c r="AF242" i="4"/>
  <c r="AC242" i="4"/>
  <c r="AB242" i="4"/>
  <c r="Z242" i="4"/>
  <c r="J242" i="4"/>
  <c r="AL242" i="4" s="1"/>
  <c r="H242" i="4"/>
  <c r="BJ241" i="4"/>
  <c r="BF241" i="4"/>
  <c r="BD241" i="4"/>
  <c r="AP241" i="4"/>
  <c r="AX241" i="4" s="1"/>
  <c r="AO241" i="4"/>
  <c r="BH241" i="4" s="1"/>
  <c r="AD241" i="4" s="1"/>
  <c r="AL241" i="4"/>
  <c r="AK241" i="4"/>
  <c r="AJ241" i="4"/>
  <c r="AH241" i="4"/>
  <c r="AG241" i="4"/>
  <c r="AF241" i="4"/>
  <c r="AC241" i="4"/>
  <c r="AB241" i="4"/>
  <c r="Z241" i="4"/>
  <c r="J241" i="4"/>
  <c r="I241" i="4"/>
  <c r="H241" i="4"/>
  <c r="BJ240" i="4"/>
  <c r="BF240" i="4"/>
  <c r="BD240" i="4"/>
  <c r="AP240" i="4"/>
  <c r="AO240" i="4"/>
  <c r="AW240" i="4" s="1"/>
  <c r="AK240" i="4"/>
  <c r="AJ240" i="4"/>
  <c r="AH240" i="4"/>
  <c r="AG240" i="4"/>
  <c r="AF240" i="4"/>
  <c r="AC240" i="4"/>
  <c r="AB240" i="4"/>
  <c r="Z240" i="4"/>
  <c r="J240" i="4"/>
  <c r="AL240" i="4" s="1"/>
  <c r="I240" i="4"/>
  <c r="BJ239" i="4"/>
  <c r="BF239" i="4"/>
  <c r="BD239" i="4"/>
  <c r="AP239" i="4"/>
  <c r="AX239" i="4" s="1"/>
  <c r="AO239" i="4"/>
  <c r="AL239" i="4"/>
  <c r="AK239" i="4"/>
  <c r="AJ239" i="4"/>
  <c r="AH239" i="4"/>
  <c r="AG239" i="4"/>
  <c r="AF239" i="4"/>
  <c r="AC239" i="4"/>
  <c r="AB239" i="4"/>
  <c r="Z239" i="4"/>
  <c r="J239" i="4"/>
  <c r="BJ237" i="4"/>
  <c r="Z237" i="4" s="1"/>
  <c r="BF237" i="4"/>
  <c r="BD237" i="4"/>
  <c r="AX237" i="4"/>
  <c r="AP237" i="4"/>
  <c r="BI237" i="4" s="1"/>
  <c r="AO237" i="4"/>
  <c r="AW237" i="4" s="1"/>
  <c r="AL237" i="4"/>
  <c r="AK237" i="4"/>
  <c r="AJ237" i="4"/>
  <c r="AH237" i="4"/>
  <c r="AG237" i="4"/>
  <c r="AF237" i="4"/>
  <c r="AE237" i="4"/>
  <c r="AD237" i="4"/>
  <c r="AC237" i="4"/>
  <c r="AB237" i="4"/>
  <c r="J237" i="4"/>
  <c r="BJ236" i="4"/>
  <c r="BF236" i="4"/>
  <c r="BD236" i="4"/>
  <c r="AP236" i="4"/>
  <c r="AX236" i="4" s="1"/>
  <c r="AO236" i="4"/>
  <c r="BH236" i="4" s="1"/>
  <c r="AD236" i="4" s="1"/>
  <c r="AK236" i="4"/>
  <c r="AJ236" i="4"/>
  <c r="AH236" i="4"/>
  <c r="AG236" i="4"/>
  <c r="AF236" i="4"/>
  <c r="AC236" i="4"/>
  <c r="AB236" i="4"/>
  <c r="Z236" i="4"/>
  <c r="J236" i="4"/>
  <c r="AL236" i="4" s="1"/>
  <c r="BJ235" i="4"/>
  <c r="BI235" i="4"/>
  <c r="BF235" i="4"/>
  <c r="BD235" i="4"/>
  <c r="AP235" i="4"/>
  <c r="AO235" i="4"/>
  <c r="AW235" i="4" s="1"/>
  <c r="AK235" i="4"/>
  <c r="AJ235" i="4"/>
  <c r="AH235" i="4"/>
  <c r="AG235" i="4"/>
  <c r="AF235" i="4"/>
  <c r="AE235" i="4"/>
  <c r="AC235" i="4"/>
  <c r="AB235" i="4"/>
  <c r="Z235" i="4"/>
  <c r="J235" i="4"/>
  <c r="AL235" i="4" s="1"/>
  <c r="BJ234" i="4"/>
  <c r="BF234" i="4"/>
  <c r="BD234" i="4"/>
  <c r="AP234" i="4"/>
  <c r="AX234" i="4" s="1"/>
  <c r="AO234" i="4"/>
  <c r="AK234" i="4"/>
  <c r="AJ234" i="4"/>
  <c r="AH234" i="4"/>
  <c r="AG234" i="4"/>
  <c r="AF234" i="4"/>
  <c r="AC234" i="4"/>
  <c r="AB234" i="4"/>
  <c r="Z234" i="4"/>
  <c r="J234" i="4"/>
  <c r="AL234" i="4" s="1"/>
  <c r="I234" i="4"/>
  <c r="H234" i="4"/>
  <c r="BJ233" i="4"/>
  <c r="BF233" i="4"/>
  <c r="BD233" i="4"/>
  <c r="AP233" i="4"/>
  <c r="AO233" i="4"/>
  <c r="BH233" i="4" s="1"/>
  <c r="AD233" i="4" s="1"/>
  <c r="AK233" i="4"/>
  <c r="AJ233" i="4"/>
  <c r="AH233" i="4"/>
  <c r="AG233" i="4"/>
  <c r="AF233" i="4"/>
  <c r="AC233" i="4"/>
  <c r="AB233" i="4"/>
  <c r="Z233" i="4"/>
  <c r="J233" i="4"/>
  <c r="AL233" i="4" s="1"/>
  <c r="BJ232" i="4"/>
  <c r="BF232" i="4"/>
  <c r="BD232" i="4"/>
  <c r="AP232" i="4"/>
  <c r="BI232" i="4" s="1"/>
  <c r="AE232" i="4" s="1"/>
  <c r="AO232" i="4"/>
  <c r="AK232" i="4"/>
  <c r="AJ232" i="4"/>
  <c r="AH232" i="4"/>
  <c r="AG232" i="4"/>
  <c r="AF232" i="4"/>
  <c r="AC232" i="4"/>
  <c r="AB232" i="4"/>
  <c r="Z232" i="4"/>
  <c r="J232" i="4"/>
  <c r="BJ230" i="4"/>
  <c r="Z230" i="4" s="1"/>
  <c r="BF230" i="4"/>
  <c r="BD230" i="4"/>
  <c r="AX230" i="4"/>
  <c r="AW230" i="4"/>
  <c r="AP230" i="4"/>
  <c r="BI230" i="4" s="1"/>
  <c r="AO230" i="4"/>
  <c r="BH230" i="4" s="1"/>
  <c r="AK230" i="4"/>
  <c r="AJ230" i="4"/>
  <c r="AH230" i="4"/>
  <c r="AG230" i="4"/>
  <c r="AF230" i="4"/>
  <c r="AE230" i="4"/>
  <c r="AD230" i="4"/>
  <c r="AC230" i="4"/>
  <c r="AB230" i="4"/>
  <c r="J230" i="4"/>
  <c r="AL230" i="4" s="1"/>
  <c r="I230" i="4"/>
  <c r="BJ229" i="4"/>
  <c r="BF229" i="4"/>
  <c r="BD229" i="4"/>
  <c r="AX229" i="4"/>
  <c r="AP229" i="4"/>
  <c r="BI229" i="4" s="1"/>
  <c r="AE229" i="4" s="1"/>
  <c r="AO229" i="4"/>
  <c r="H229" i="4" s="1"/>
  <c r="AK229" i="4"/>
  <c r="AJ229" i="4"/>
  <c r="AH229" i="4"/>
  <c r="AG229" i="4"/>
  <c r="AF229" i="4"/>
  <c r="AC229" i="4"/>
  <c r="AB229" i="4"/>
  <c r="Z229" i="4"/>
  <c r="J229" i="4"/>
  <c r="BJ228" i="4"/>
  <c r="BF228" i="4"/>
  <c r="BD228" i="4"/>
  <c r="AP228" i="4"/>
  <c r="BI228" i="4" s="1"/>
  <c r="AE228" i="4" s="1"/>
  <c r="AO228" i="4"/>
  <c r="AW228" i="4" s="1"/>
  <c r="AK228" i="4"/>
  <c r="AJ228" i="4"/>
  <c r="AH228" i="4"/>
  <c r="AG228" i="4"/>
  <c r="AF228" i="4"/>
  <c r="AC228" i="4"/>
  <c r="AB228" i="4"/>
  <c r="Z228" i="4"/>
  <c r="J228" i="4"/>
  <c r="AL228" i="4" s="1"/>
  <c r="BJ226" i="4"/>
  <c r="BF226" i="4"/>
  <c r="BD226" i="4"/>
  <c r="AP226" i="4"/>
  <c r="BI226" i="4" s="1"/>
  <c r="AE226" i="4" s="1"/>
  <c r="AO226" i="4"/>
  <c r="BH226" i="4" s="1"/>
  <c r="AD226" i="4" s="1"/>
  <c r="AK226" i="4"/>
  <c r="AJ226" i="4"/>
  <c r="AH226" i="4"/>
  <c r="AG226" i="4"/>
  <c r="AF226" i="4"/>
  <c r="AC226" i="4"/>
  <c r="AB226" i="4"/>
  <c r="Z226" i="4"/>
  <c r="J226" i="4"/>
  <c r="AL226" i="4" s="1"/>
  <c r="H226" i="4"/>
  <c r="BJ225" i="4"/>
  <c r="BF225" i="4"/>
  <c r="BD225" i="4"/>
  <c r="AX225" i="4"/>
  <c r="AP225" i="4"/>
  <c r="BI225" i="4" s="1"/>
  <c r="AE225" i="4" s="1"/>
  <c r="AO225" i="4"/>
  <c r="AW225" i="4" s="1"/>
  <c r="AK225" i="4"/>
  <c r="AJ225" i="4"/>
  <c r="AH225" i="4"/>
  <c r="AG225" i="4"/>
  <c r="AF225" i="4"/>
  <c r="AC225" i="4"/>
  <c r="AB225" i="4"/>
  <c r="Z225" i="4"/>
  <c r="J225" i="4"/>
  <c r="AL225" i="4" s="1"/>
  <c r="I225" i="4"/>
  <c r="H225" i="4"/>
  <c r="BJ224" i="4"/>
  <c r="BF224" i="4"/>
  <c r="BD224" i="4"/>
  <c r="AW224" i="4"/>
  <c r="AV224" i="4" s="1"/>
  <c r="AP224" i="4"/>
  <c r="AX224" i="4" s="1"/>
  <c r="AO224" i="4"/>
  <c r="H224" i="4" s="1"/>
  <c r="AK224" i="4"/>
  <c r="AJ224" i="4"/>
  <c r="AH224" i="4"/>
  <c r="AG224" i="4"/>
  <c r="AF224" i="4"/>
  <c r="AC224" i="4"/>
  <c r="AB224" i="4"/>
  <c r="Z224" i="4"/>
  <c r="J224" i="4"/>
  <c r="AL224" i="4" s="1"/>
  <c r="I224" i="4"/>
  <c r="BJ223" i="4"/>
  <c r="BF223" i="4"/>
  <c r="BD223" i="4"/>
  <c r="AP223" i="4"/>
  <c r="AO223" i="4"/>
  <c r="AL223" i="4"/>
  <c r="AK223" i="4"/>
  <c r="AJ223" i="4"/>
  <c r="AH223" i="4"/>
  <c r="AG223" i="4"/>
  <c r="AF223" i="4"/>
  <c r="AC223" i="4"/>
  <c r="AB223" i="4"/>
  <c r="Z223" i="4"/>
  <c r="J223" i="4"/>
  <c r="BJ222" i="4"/>
  <c r="BH222" i="4"/>
  <c r="AD222" i="4" s="1"/>
  <c r="BF222" i="4"/>
  <c r="BD222" i="4"/>
  <c r="AP222" i="4"/>
  <c r="AO222" i="4"/>
  <c r="AL222" i="4"/>
  <c r="AK222" i="4"/>
  <c r="AJ222" i="4"/>
  <c r="AH222" i="4"/>
  <c r="AG222" i="4"/>
  <c r="AF222" i="4"/>
  <c r="AC222" i="4"/>
  <c r="AB222" i="4"/>
  <c r="Z222" i="4"/>
  <c r="J222" i="4"/>
  <c r="BJ221" i="4"/>
  <c r="BI221" i="4"/>
  <c r="AE221" i="4" s="1"/>
  <c r="BF221" i="4"/>
  <c r="BD221" i="4"/>
  <c r="AP221" i="4"/>
  <c r="AO221" i="4"/>
  <c r="AW221" i="4" s="1"/>
  <c r="AK221" i="4"/>
  <c r="AJ221" i="4"/>
  <c r="AH221" i="4"/>
  <c r="AG221" i="4"/>
  <c r="AF221" i="4"/>
  <c r="AC221" i="4"/>
  <c r="AB221" i="4"/>
  <c r="Z221" i="4"/>
  <c r="J221" i="4"/>
  <c r="AL221" i="4" s="1"/>
  <c r="H221" i="4"/>
  <c r="BJ220" i="4"/>
  <c r="BF220" i="4"/>
  <c r="BD220" i="4"/>
  <c r="AP220" i="4"/>
  <c r="AX220" i="4" s="1"/>
  <c r="AO220" i="4"/>
  <c r="AL220" i="4"/>
  <c r="AK220" i="4"/>
  <c r="AJ220" i="4"/>
  <c r="AH220" i="4"/>
  <c r="AG220" i="4"/>
  <c r="AF220" i="4"/>
  <c r="AC220" i="4"/>
  <c r="AB220" i="4"/>
  <c r="Z220" i="4"/>
  <c r="J220" i="4"/>
  <c r="I220" i="4"/>
  <c r="H220" i="4"/>
  <c r="BJ219" i="4"/>
  <c r="BF219" i="4"/>
  <c r="BD219" i="4"/>
  <c r="AW219" i="4"/>
  <c r="AP219" i="4"/>
  <c r="BI219" i="4" s="1"/>
  <c r="AE219" i="4" s="1"/>
  <c r="AO219" i="4"/>
  <c r="BH219" i="4" s="1"/>
  <c r="AD219" i="4" s="1"/>
  <c r="AK219" i="4"/>
  <c r="AJ219" i="4"/>
  <c r="AH219" i="4"/>
  <c r="AG219" i="4"/>
  <c r="AF219" i="4"/>
  <c r="AC219" i="4"/>
  <c r="AB219" i="4"/>
  <c r="Z219" i="4"/>
  <c r="J219" i="4"/>
  <c r="AL219" i="4" s="1"/>
  <c r="I219" i="4"/>
  <c r="BJ218" i="4"/>
  <c r="BF218" i="4"/>
  <c r="BD218" i="4"/>
  <c r="AW218" i="4"/>
  <c r="AP218" i="4"/>
  <c r="AO218" i="4"/>
  <c r="BH218" i="4" s="1"/>
  <c r="AD218" i="4" s="1"/>
  <c r="AK218" i="4"/>
  <c r="AJ218" i="4"/>
  <c r="AH218" i="4"/>
  <c r="AG218" i="4"/>
  <c r="AF218" i="4"/>
  <c r="AC218" i="4"/>
  <c r="AB218" i="4"/>
  <c r="Z218" i="4"/>
  <c r="J218" i="4"/>
  <c r="AL218" i="4" s="1"/>
  <c r="H218" i="4"/>
  <c r="BJ217" i="4"/>
  <c r="BF217" i="4"/>
  <c r="BD217" i="4"/>
  <c r="AX217" i="4"/>
  <c r="AP217" i="4"/>
  <c r="BI217" i="4" s="1"/>
  <c r="AE217" i="4" s="1"/>
  <c r="AO217" i="4"/>
  <c r="AK217" i="4"/>
  <c r="AJ217" i="4"/>
  <c r="AH217" i="4"/>
  <c r="AG217" i="4"/>
  <c r="AF217" i="4"/>
  <c r="AC217" i="4"/>
  <c r="AB217" i="4"/>
  <c r="Z217" i="4"/>
  <c r="J217" i="4"/>
  <c r="AL217" i="4" s="1"/>
  <c r="I217" i="4"/>
  <c r="BJ216" i="4"/>
  <c r="BF216" i="4"/>
  <c r="BD216" i="4"/>
  <c r="AW216" i="4"/>
  <c r="AP216" i="4"/>
  <c r="AX216" i="4" s="1"/>
  <c r="AO216" i="4"/>
  <c r="H216" i="4" s="1"/>
  <c r="AL216" i="4"/>
  <c r="AK216" i="4"/>
  <c r="AJ216" i="4"/>
  <c r="AH216" i="4"/>
  <c r="AG216" i="4"/>
  <c r="AF216" i="4"/>
  <c r="AC216" i="4"/>
  <c r="AB216" i="4"/>
  <c r="Z216" i="4"/>
  <c r="J216" i="4"/>
  <c r="I216" i="4"/>
  <c r="BJ215" i="4"/>
  <c r="BF215" i="4"/>
  <c r="BD215" i="4"/>
  <c r="AX215" i="4"/>
  <c r="AP215" i="4"/>
  <c r="I215" i="4" s="1"/>
  <c r="AO215" i="4"/>
  <c r="AK215" i="4"/>
  <c r="AJ215" i="4"/>
  <c r="AH215" i="4"/>
  <c r="AG215" i="4"/>
  <c r="AF215" i="4"/>
  <c r="AC215" i="4"/>
  <c r="AB215" i="4"/>
  <c r="Z215" i="4"/>
  <c r="J215" i="4"/>
  <c r="AL215" i="4" s="1"/>
  <c r="BJ214" i="4"/>
  <c r="BH214" i="4"/>
  <c r="AD214" i="4" s="1"/>
  <c r="BF214" i="4"/>
  <c r="BD214" i="4"/>
  <c r="AP214" i="4"/>
  <c r="AO214" i="4"/>
  <c r="AK214" i="4"/>
  <c r="AJ214" i="4"/>
  <c r="AH214" i="4"/>
  <c r="AG214" i="4"/>
  <c r="AF214" i="4"/>
  <c r="AC214" i="4"/>
  <c r="AB214" i="4"/>
  <c r="Z214" i="4"/>
  <c r="J214" i="4"/>
  <c r="AL214" i="4" s="1"/>
  <c r="BJ213" i="4"/>
  <c r="BF213" i="4"/>
  <c r="BD213" i="4"/>
  <c r="AP213" i="4"/>
  <c r="BI213" i="4" s="1"/>
  <c r="AE213" i="4" s="1"/>
  <c r="AO213" i="4"/>
  <c r="AK213" i="4"/>
  <c r="AJ213" i="4"/>
  <c r="AH213" i="4"/>
  <c r="AG213" i="4"/>
  <c r="AF213" i="4"/>
  <c r="AC213" i="4"/>
  <c r="AB213" i="4"/>
  <c r="Z213" i="4"/>
  <c r="J213" i="4"/>
  <c r="AL213" i="4" s="1"/>
  <c r="BJ212" i="4"/>
  <c r="BF212" i="4"/>
  <c r="BD212" i="4"/>
  <c r="AP212" i="4"/>
  <c r="AX212" i="4" s="1"/>
  <c r="AO212" i="4"/>
  <c r="AK212" i="4"/>
  <c r="AJ212" i="4"/>
  <c r="AH212" i="4"/>
  <c r="AG212" i="4"/>
  <c r="AF212" i="4"/>
  <c r="AC212" i="4"/>
  <c r="AB212" i="4"/>
  <c r="Z212" i="4"/>
  <c r="J212" i="4"/>
  <c r="AL212" i="4" s="1"/>
  <c r="I212" i="4"/>
  <c r="H212" i="4"/>
  <c r="BJ211" i="4"/>
  <c r="BF211" i="4"/>
  <c r="BD211" i="4"/>
  <c r="AP211" i="4"/>
  <c r="BI211" i="4" s="1"/>
  <c r="AE211" i="4" s="1"/>
  <c r="AO211" i="4"/>
  <c r="BH211" i="4" s="1"/>
  <c r="AD211" i="4" s="1"/>
  <c r="AK211" i="4"/>
  <c r="AJ211" i="4"/>
  <c r="AH211" i="4"/>
  <c r="AG211" i="4"/>
  <c r="AF211" i="4"/>
  <c r="AC211" i="4"/>
  <c r="AB211" i="4"/>
  <c r="Z211" i="4"/>
  <c r="J211" i="4"/>
  <c r="AL211" i="4" s="1"/>
  <c r="I211" i="4"/>
  <c r="BJ210" i="4"/>
  <c r="BF210" i="4"/>
  <c r="BD210" i="4"/>
  <c r="AP210" i="4"/>
  <c r="AO210" i="4"/>
  <c r="BH210" i="4" s="1"/>
  <c r="AD210" i="4" s="1"/>
  <c r="AK210" i="4"/>
  <c r="AJ210" i="4"/>
  <c r="AH210" i="4"/>
  <c r="AG210" i="4"/>
  <c r="AF210" i="4"/>
  <c r="AC210" i="4"/>
  <c r="AB210" i="4"/>
  <c r="Z210" i="4"/>
  <c r="J210" i="4"/>
  <c r="AL210" i="4" s="1"/>
  <c r="BJ209" i="4"/>
  <c r="BF209" i="4"/>
  <c r="BD209" i="4"/>
  <c r="AX209" i="4"/>
  <c r="AP209" i="4"/>
  <c r="BI209" i="4" s="1"/>
  <c r="AE209" i="4" s="1"/>
  <c r="AO209" i="4"/>
  <c r="AW209" i="4" s="1"/>
  <c r="AK209" i="4"/>
  <c r="AJ209" i="4"/>
  <c r="AH209" i="4"/>
  <c r="AG209" i="4"/>
  <c r="AF209" i="4"/>
  <c r="AC209" i="4"/>
  <c r="AB209" i="4"/>
  <c r="Z209" i="4"/>
  <c r="J209" i="4"/>
  <c r="AL209" i="4" s="1"/>
  <c r="I209" i="4"/>
  <c r="H209" i="4"/>
  <c r="BJ208" i="4"/>
  <c r="BF208" i="4"/>
  <c r="BD208" i="4"/>
  <c r="AW208" i="4"/>
  <c r="AV208" i="4" s="1"/>
  <c r="AP208" i="4"/>
  <c r="AX208" i="4" s="1"/>
  <c r="AO208" i="4"/>
  <c r="H208" i="4" s="1"/>
  <c r="AL208" i="4"/>
  <c r="AK208" i="4"/>
  <c r="AJ208" i="4"/>
  <c r="AH208" i="4"/>
  <c r="AG208" i="4"/>
  <c r="AF208" i="4"/>
  <c r="AC208" i="4"/>
  <c r="AB208" i="4"/>
  <c r="Z208" i="4"/>
  <c r="J208" i="4"/>
  <c r="I208" i="4"/>
  <c r="BJ207" i="4"/>
  <c r="BF207" i="4"/>
  <c r="BD207" i="4"/>
  <c r="AX207" i="4"/>
  <c r="AP207" i="4"/>
  <c r="I207" i="4" s="1"/>
  <c r="AO207" i="4"/>
  <c r="AK207" i="4"/>
  <c r="AJ207" i="4"/>
  <c r="AH207" i="4"/>
  <c r="AG207" i="4"/>
  <c r="AF207" i="4"/>
  <c r="AC207" i="4"/>
  <c r="AB207" i="4"/>
  <c r="Z207" i="4"/>
  <c r="J207" i="4"/>
  <c r="AL207" i="4" s="1"/>
  <c r="BJ206" i="4"/>
  <c r="BF206" i="4"/>
  <c r="BD206" i="4"/>
  <c r="AP206" i="4"/>
  <c r="BI206" i="4" s="1"/>
  <c r="AE206" i="4" s="1"/>
  <c r="AO206" i="4"/>
  <c r="BH206" i="4" s="1"/>
  <c r="AD206" i="4" s="1"/>
  <c r="AL206" i="4"/>
  <c r="AK206" i="4"/>
  <c r="AJ206" i="4"/>
  <c r="AH206" i="4"/>
  <c r="AG206" i="4"/>
  <c r="AF206" i="4"/>
  <c r="AC206" i="4"/>
  <c r="AB206" i="4"/>
  <c r="Z206" i="4"/>
  <c r="J206" i="4"/>
  <c r="BJ205" i="4"/>
  <c r="BI205" i="4"/>
  <c r="AE205" i="4" s="1"/>
  <c r="BF205" i="4"/>
  <c r="BD205" i="4"/>
  <c r="AP205" i="4"/>
  <c r="AO205" i="4"/>
  <c r="AW205" i="4" s="1"/>
  <c r="AK205" i="4"/>
  <c r="AJ205" i="4"/>
  <c r="AH205" i="4"/>
  <c r="AG205" i="4"/>
  <c r="AF205" i="4"/>
  <c r="AC205" i="4"/>
  <c r="AB205" i="4"/>
  <c r="Z205" i="4"/>
  <c r="J205" i="4"/>
  <c r="AL205" i="4" s="1"/>
  <c r="BJ204" i="4"/>
  <c r="BF204" i="4"/>
  <c r="BD204" i="4"/>
  <c r="AW204" i="4"/>
  <c r="AV204" i="4" s="1"/>
  <c r="AP204" i="4"/>
  <c r="AX204" i="4" s="1"/>
  <c r="AO204" i="4"/>
  <c r="BH204" i="4" s="1"/>
  <c r="AD204" i="4" s="1"/>
  <c r="AK204" i="4"/>
  <c r="AJ204" i="4"/>
  <c r="AH204" i="4"/>
  <c r="AG204" i="4"/>
  <c r="AF204" i="4"/>
  <c r="AC204" i="4"/>
  <c r="AB204" i="4"/>
  <c r="Z204" i="4"/>
  <c r="J204" i="4"/>
  <c r="AL204" i="4" s="1"/>
  <c r="I204" i="4"/>
  <c r="H204" i="4"/>
  <c r="BJ203" i="4"/>
  <c r="BF203" i="4"/>
  <c r="BD203" i="4"/>
  <c r="AP203" i="4"/>
  <c r="BI203" i="4" s="1"/>
  <c r="AE203" i="4" s="1"/>
  <c r="AO203" i="4"/>
  <c r="H203" i="4" s="1"/>
  <c r="AK203" i="4"/>
  <c r="AJ203" i="4"/>
  <c r="AH203" i="4"/>
  <c r="AG203" i="4"/>
  <c r="AF203" i="4"/>
  <c r="AC203" i="4"/>
  <c r="AB203" i="4"/>
  <c r="Z203" i="4"/>
  <c r="J203" i="4"/>
  <c r="AL203" i="4" s="1"/>
  <c r="BJ202" i="4"/>
  <c r="BF202" i="4"/>
  <c r="BD202" i="4"/>
  <c r="AW202" i="4"/>
  <c r="AP202" i="4"/>
  <c r="AO202" i="4"/>
  <c r="BH202" i="4" s="1"/>
  <c r="AD202" i="4" s="1"/>
  <c r="AK202" i="4"/>
  <c r="AJ202" i="4"/>
  <c r="AH202" i="4"/>
  <c r="AG202" i="4"/>
  <c r="AF202" i="4"/>
  <c r="AC202" i="4"/>
  <c r="AB202" i="4"/>
  <c r="Z202" i="4"/>
  <c r="J202" i="4"/>
  <c r="AL202" i="4" s="1"/>
  <c r="H202" i="4"/>
  <c r="BJ201" i="4"/>
  <c r="BF201" i="4"/>
  <c r="BD201" i="4"/>
  <c r="AP201" i="4"/>
  <c r="AO201" i="4"/>
  <c r="AW201" i="4" s="1"/>
  <c r="AK201" i="4"/>
  <c r="AJ201" i="4"/>
  <c r="AH201" i="4"/>
  <c r="AG201" i="4"/>
  <c r="AF201" i="4"/>
  <c r="AC201" i="4"/>
  <c r="AB201" i="4"/>
  <c r="Z201" i="4"/>
  <c r="J201" i="4"/>
  <c r="AL201" i="4" s="1"/>
  <c r="BJ200" i="4"/>
  <c r="BF200" i="4"/>
  <c r="BD200" i="4"/>
  <c r="AW200" i="4"/>
  <c r="AP200" i="4"/>
  <c r="AX200" i="4" s="1"/>
  <c r="AO200" i="4"/>
  <c r="H200" i="4" s="1"/>
  <c r="AL200" i="4"/>
  <c r="AK200" i="4"/>
  <c r="AJ200" i="4"/>
  <c r="AH200" i="4"/>
  <c r="AG200" i="4"/>
  <c r="AF200" i="4"/>
  <c r="AC200" i="4"/>
  <c r="AB200" i="4"/>
  <c r="Z200" i="4"/>
  <c r="J200" i="4"/>
  <c r="I200" i="4"/>
  <c r="BJ199" i="4"/>
  <c r="BF199" i="4"/>
  <c r="BD199" i="4"/>
  <c r="AP199" i="4"/>
  <c r="I199" i="4" s="1"/>
  <c r="AO199" i="4"/>
  <c r="AW199" i="4" s="1"/>
  <c r="AL199" i="4"/>
  <c r="AK199" i="4"/>
  <c r="AJ199" i="4"/>
  <c r="AH199" i="4"/>
  <c r="AG199" i="4"/>
  <c r="AF199" i="4"/>
  <c r="AC199" i="4"/>
  <c r="AB199" i="4"/>
  <c r="Z199" i="4"/>
  <c r="J199" i="4"/>
  <c r="H199" i="4"/>
  <c r="BJ198" i="4"/>
  <c r="BI198" i="4"/>
  <c r="AE198" i="4" s="1"/>
  <c r="BF198" i="4"/>
  <c r="BD198" i="4"/>
  <c r="AP198" i="4"/>
  <c r="AX198" i="4" s="1"/>
  <c r="AO198" i="4"/>
  <c r="AK198" i="4"/>
  <c r="AJ198" i="4"/>
  <c r="AH198" i="4"/>
  <c r="AG198" i="4"/>
  <c r="AF198" i="4"/>
  <c r="AC198" i="4"/>
  <c r="AB198" i="4"/>
  <c r="Z198" i="4"/>
  <c r="J198" i="4"/>
  <c r="AL198" i="4" s="1"/>
  <c r="BJ197" i="4"/>
  <c r="BI197" i="4"/>
  <c r="AE197" i="4" s="1"/>
  <c r="BF197" i="4"/>
  <c r="BD197" i="4"/>
  <c r="AP197" i="4"/>
  <c r="I197" i="4" s="1"/>
  <c r="AO197" i="4"/>
  <c r="AW197" i="4" s="1"/>
  <c r="AK197" i="4"/>
  <c r="AJ197" i="4"/>
  <c r="AH197" i="4"/>
  <c r="AG197" i="4"/>
  <c r="AF197" i="4"/>
  <c r="AC197" i="4"/>
  <c r="AB197" i="4"/>
  <c r="Z197" i="4"/>
  <c r="J197" i="4"/>
  <c r="AL197" i="4" s="1"/>
  <c r="H197" i="4"/>
  <c r="BJ195" i="4"/>
  <c r="BF195" i="4"/>
  <c r="BD195" i="4"/>
  <c r="AP195" i="4"/>
  <c r="AX195" i="4" s="1"/>
  <c r="AO195" i="4"/>
  <c r="AL195" i="4"/>
  <c r="AK195" i="4"/>
  <c r="AJ195" i="4"/>
  <c r="AH195" i="4"/>
  <c r="AG195" i="4"/>
  <c r="AF195" i="4"/>
  <c r="AC195" i="4"/>
  <c r="AB195" i="4"/>
  <c r="Z195" i="4"/>
  <c r="J195" i="4"/>
  <c r="I195" i="4"/>
  <c r="H195" i="4"/>
  <c r="BJ193" i="4"/>
  <c r="Z193" i="4" s="1"/>
  <c r="BF193" i="4"/>
  <c r="BD193" i="4"/>
  <c r="AP193" i="4"/>
  <c r="AO193" i="4"/>
  <c r="AW193" i="4" s="1"/>
  <c r="AK193" i="4"/>
  <c r="AJ193" i="4"/>
  <c r="AH193" i="4"/>
  <c r="AG193" i="4"/>
  <c r="AF193" i="4"/>
  <c r="AE193" i="4"/>
  <c r="AD193" i="4"/>
  <c r="AC193" i="4"/>
  <c r="AB193" i="4"/>
  <c r="J193" i="4"/>
  <c r="AL193" i="4" s="1"/>
  <c r="H193" i="4"/>
  <c r="BJ192" i="4"/>
  <c r="BF192" i="4"/>
  <c r="BD192" i="4"/>
  <c r="AP192" i="4"/>
  <c r="AX192" i="4" s="1"/>
  <c r="AO192" i="4"/>
  <c r="AL192" i="4"/>
  <c r="AK192" i="4"/>
  <c r="AJ192" i="4"/>
  <c r="AH192" i="4"/>
  <c r="AG192" i="4"/>
  <c r="AF192" i="4"/>
  <c r="AC192" i="4"/>
  <c r="AB192" i="4"/>
  <c r="Z192" i="4"/>
  <c r="J192" i="4"/>
  <c r="I192" i="4"/>
  <c r="H192" i="4"/>
  <c r="BJ191" i="4"/>
  <c r="BH191" i="4"/>
  <c r="AD191" i="4" s="1"/>
  <c r="BF191" i="4"/>
  <c r="BD191" i="4"/>
  <c r="AX191" i="4"/>
  <c r="AW191" i="4"/>
  <c r="AP191" i="4"/>
  <c r="BI191" i="4" s="1"/>
  <c r="AE191" i="4" s="1"/>
  <c r="AO191" i="4"/>
  <c r="AK191" i="4"/>
  <c r="AJ191" i="4"/>
  <c r="AH191" i="4"/>
  <c r="AG191" i="4"/>
  <c r="AF191" i="4"/>
  <c r="AC191" i="4"/>
  <c r="AB191" i="4"/>
  <c r="Z191" i="4"/>
  <c r="J191" i="4"/>
  <c r="AL191" i="4" s="1"/>
  <c r="I191" i="4"/>
  <c r="H191" i="4"/>
  <c r="BJ190" i="4"/>
  <c r="BF190" i="4"/>
  <c r="BD190" i="4"/>
  <c r="AW190" i="4"/>
  <c r="AP190" i="4"/>
  <c r="BI190" i="4" s="1"/>
  <c r="AE190" i="4" s="1"/>
  <c r="AO190" i="4"/>
  <c r="BH190" i="4" s="1"/>
  <c r="AD190" i="4" s="1"/>
  <c r="AK190" i="4"/>
  <c r="AJ190" i="4"/>
  <c r="AH190" i="4"/>
  <c r="AG190" i="4"/>
  <c r="AF190" i="4"/>
  <c r="AC190" i="4"/>
  <c r="AB190" i="4"/>
  <c r="Z190" i="4"/>
  <c r="J190" i="4"/>
  <c r="AL190" i="4" s="1"/>
  <c r="H190" i="4"/>
  <c r="BJ189" i="4"/>
  <c r="BF189" i="4"/>
  <c r="BD189" i="4"/>
  <c r="AP189" i="4"/>
  <c r="AO189" i="4"/>
  <c r="AW189" i="4" s="1"/>
  <c r="AK189" i="4"/>
  <c r="AJ189" i="4"/>
  <c r="AH189" i="4"/>
  <c r="AG189" i="4"/>
  <c r="AF189" i="4"/>
  <c r="AC189" i="4"/>
  <c r="AB189" i="4"/>
  <c r="Z189" i="4"/>
  <c r="J189" i="4"/>
  <c r="AL189" i="4" s="1"/>
  <c r="I189" i="4"/>
  <c r="BJ188" i="4"/>
  <c r="BF188" i="4"/>
  <c r="BD188" i="4"/>
  <c r="AP188" i="4"/>
  <c r="AX188" i="4" s="1"/>
  <c r="AO188" i="4"/>
  <c r="AK188" i="4"/>
  <c r="AJ188" i="4"/>
  <c r="AH188" i="4"/>
  <c r="AG188" i="4"/>
  <c r="AF188" i="4"/>
  <c r="AC188" i="4"/>
  <c r="AB188" i="4"/>
  <c r="Z188" i="4"/>
  <c r="J188" i="4"/>
  <c r="AL188" i="4" s="1"/>
  <c r="H188" i="4"/>
  <c r="BJ187" i="4"/>
  <c r="BF187" i="4"/>
  <c r="BD187" i="4"/>
  <c r="AW187" i="4"/>
  <c r="AP187" i="4"/>
  <c r="AO187" i="4"/>
  <c r="BH187" i="4" s="1"/>
  <c r="AD187" i="4" s="1"/>
  <c r="AK187" i="4"/>
  <c r="AJ187" i="4"/>
  <c r="AH187" i="4"/>
  <c r="AG187" i="4"/>
  <c r="AF187" i="4"/>
  <c r="AC187" i="4"/>
  <c r="AB187" i="4"/>
  <c r="Z187" i="4"/>
  <c r="J187" i="4"/>
  <c r="AL187" i="4" s="1"/>
  <c r="I187" i="4"/>
  <c r="H187" i="4"/>
  <c r="BJ186" i="4"/>
  <c r="BF186" i="4"/>
  <c r="BD186" i="4"/>
  <c r="AP186" i="4"/>
  <c r="AO186" i="4"/>
  <c r="H186" i="4" s="1"/>
  <c r="AK186" i="4"/>
  <c r="AJ186" i="4"/>
  <c r="AH186" i="4"/>
  <c r="AG186" i="4"/>
  <c r="AF186" i="4"/>
  <c r="AC186" i="4"/>
  <c r="AB186" i="4"/>
  <c r="Z186" i="4"/>
  <c r="J186" i="4"/>
  <c r="AL186" i="4" s="1"/>
  <c r="BJ185" i="4"/>
  <c r="BF185" i="4"/>
  <c r="BD185" i="4"/>
  <c r="AW185" i="4"/>
  <c r="AP185" i="4"/>
  <c r="AO185" i="4"/>
  <c r="BH185" i="4" s="1"/>
  <c r="AD185" i="4" s="1"/>
  <c r="AK185" i="4"/>
  <c r="AJ185" i="4"/>
  <c r="AH185" i="4"/>
  <c r="AG185" i="4"/>
  <c r="AF185" i="4"/>
  <c r="AC185" i="4"/>
  <c r="AB185" i="4"/>
  <c r="Z185" i="4"/>
  <c r="J185" i="4"/>
  <c r="AL185" i="4" s="1"/>
  <c r="H185" i="4"/>
  <c r="BJ184" i="4"/>
  <c r="BF184" i="4"/>
  <c r="BD184" i="4"/>
  <c r="AW184" i="4"/>
  <c r="AP184" i="4"/>
  <c r="AO184" i="4"/>
  <c r="BH184" i="4" s="1"/>
  <c r="AD184" i="4" s="1"/>
  <c r="AL184" i="4"/>
  <c r="AK184" i="4"/>
  <c r="AJ184" i="4"/>
  <c r="AH184" i="4"/>
  <c r="AG184" i="4"/>
  <c r="AF184" i="4"/>
  <c r="AC184" i="4"/>
  <c r="AB184" i="4"/>
  <c r="Z184" i="4"/>
  <c r="J184" i="4"/>
  <c r="I184" i="4"/>
  <c r="H184" i="4"/>
  <c r="BJ183" i="4"/>
  <c r="BF183" i="4"/>
  <c r="BD183" i="4"/>
  <c r="AX183" i="4"/>
  <c r="AP183" i="4"/>
  <c r="BI183" i="4" s="1"/>
  <c r="AE183" i="4" s="1"/>
  <c r="AO183" i="4"/>
  <c r="AW183" i="4" s="1"/>
  <c r="AK183" i="4"/>
  <c r="AJ183" i="4"/>
  <c r="AH183" i="4"/>
  <c r="AG183" i="4"/>
  <c r="AF183" i="4"/>
  <c r="AC183" i="4"/>
  <c r="AB183" i="4"/>
  <c r="Z183" i="4"/>
  <c r="J183" i="4"/>
  <c r="AL183" i="4" s="1"/>
  <c r="I183" i="4"/>
  <c r="BJ182" i="4"/>
  <c r="BF182" i="4"/>
  <c r="BD182" i="4"/>
  <c r="AP182" i="4"/>
  <c r="AX182" i="4" s="1"/>
  <c r="AO182" i="4"/>
  <c r="AL182" i="4"/>
  <c r="AK182" i="4"/>
  <c r="AJ182" i="4"/>
  <c r="AH182" i="4"/>
  <c r="AG182" i="4"/>
  <c r="AF182" i="4"/>
  <c r="AC182" i="4"/>
  <c r="AB182" i="4"/>
  <c r="Z182" i="4"/>
  <c r="J182" i="4"/>
  <c r="BJ181" i="4"/>
  <c r="BF181" i="4"/>
  <c r="BD181" i="4"/>
  <c r="AP181" i="4"/>
  <c r="AO181" i="4"/>
  <c r="AW181" i="4" s="1"/>
  <c r="AK181" i="4"/>
  <c r="AJ181" i="4"/>
  <c r="AH181" i="4"/>
  <c r="AG181" i="4"/>
  <c r="AF181" i="4"/>
  <c r="AC181" i="4"/>
  <c r="AB181" i="4"/>
  <c r="Z181" i="4"/>
  <c r="J181" i="4"/>
  <c r="AL181" i="4" s="1"/>
  <c r="BJ180" i="4"/>
  <c r="BF180" i="4"/>
  <c r="BD180" i="4"/>
  <c r="AW180" i="4"/>
  <c r="BC180" i="4" s="1"/>
  <c r="AP180" i="4"/>
  <c r="AX180" i="4" s="1"/>
  <c r="AO180" i="4"/>
  <c r="BH180" i="4" s="1"/>
  <c r="AD180" i="4" s="1"/>
  <c r="AK180" i="4"/>
  <c r="AJ180" i="4"/>
  <c r="AH180" i="4"/>
  <c r="AG180" i="4"/>
  <c r="AF180" i="4"/>
  <c r="AC180" i="4"/>
  <c r="AB180" i="4"/>
  <c r="Z180" i="4"/>
  <c r="J180" i="4"/>
  <c r="AL180" i="4" s="1"/>
  <c r="H180" i="4"/>
  <c r="BJ179" i="4"/>
  <c r="BF179" i="4"/>
  <c r="BD179" i="4"/>
  <c r="AX179" i="4"/>
  <c r="AW179" i="4"/>
  <c r="AP179" i="4"/>
  <c r="BI179" i="4" s="1"/>
  <c r="AE179" i="4" s="1"/>
  <c r="AO179" i="4"/>
  <c r="BH179" i="4" s="1"/>
  <c r="AD179" i="4" s="1"/>
  <c r="AK179" i="4"/>
  <c r="AJ179" i="4"/>
  <c r="AH179" i="4"/>
  <c r="AG179" i="4"/>
  <c r="AF179" i="4"/>
  <c r="AC179" i="4"/>
  <c r="AB179" i="4"/>
  <c r="Z179" i="4"/>
  <c r="J179" i="4"/>
  <c r="AL179" i="4" s="1"/>
  <c r="I179" i="4"/>
  <c r="H179" i="4"/>
  <c r="BJ177" i="4"/>
  <c r="BF177" i="4"/>
  <c r="BD177" i="4"/>
  <c r="AW177" i="4"/>
  <c r="AV177" i="4"/>
  <c r="AP177" i="4"/>
  <c r="AX177" i="4" s="1"/>
  <c r="AO177" i="4"/>
  <c r="BH177" i="4" s="1"/>
  <c r="AD177" i="4" s="1"/>
  <c r="AK177" i="4"/>
  <c r="AJ177" i="4"/>
  <c r="AH177" i="4"/>
  <c r="AG177" i="4"/>
  <c r="AF177" i="4"/>
  <c r="AC177" i="4"/>
  <c r="AB177" i="4"/>
  <c r="Z177" i="4"/>
  <c r="J177" i="4"/>
  <c r="AL177" i="4" s="1"/>
  <c r="H177" i="4"/>
  <c r="BJ176" i="4"/>
  <c r="BF176" i="4"/>
  <c r="BD176" i="4"/>
  <c r="AW176" i="4"/>
  <c r="AP176" i="4"/>
  <c r="BI176" i="4" s="1"/>
  <c r="AE176" i="4" s="1"/>
  <c r="AO176" i="4"/>
  <c r="BH176" i="4" s="1"/>
  <c r="AD176" i="4" s="1"/>
  <c r="AK176" i="4"/>
  <c r="AJ176" i="4"/>
  <c r="AH176" i="4"/>
  <c r="AG176" i="4"/>
  <c r="AF176" i="4"/>
  <c r="AC176" i="4"/>
  <c r="AB176" i="4"/>
  <c r="Z176" i="4"/>
  <c r="J176" i="4"/>
  <c r="AL176" i="4" s="1"/>
  <c r="H176" i="4"/>
  <c r="BJ175" i="4"/>
  <c r="BF175" i="4"/>
  <c r="BD175" i="4"/>
  <c r="AX175" i="4"/>
  <c r="AW175" i="4"/>
  <c r="AP175" i="4"/>
  <c r="BI175" i="4" s="1"/>
  <c r="AE175" i="4" s="1"/>
  <c r="AO175" i="4"/>
  <c r="H175" i="4" s="1"/>
  <c r="AK175" i="4"/>
  <c r="AJ175" i="4"/>
  <c r="AH175" i="4"/>
  <c r="AG175" i="4"/>
  <c r="AF175" i="4"/>
  <c r="AC175" i="4"/>
  <c r="AB175" i="4"/>
  <c r="Z175" i="4"/>
  <c r="J175" i="4"/>
  <c r="AL175" i="4" s="1"/>
  <c r="I175" i="4"/>
  <c r="BJ174" i="4"/>
  <c r="BF174" i="4"/>
  <c r="BD174" i="4"/>
  <c r="AX174" i="4"/>
  <c r="AV174" i="4" s="1"/>
  <c r="AW174" i="4"/>
  <c r="AP174" i="4"/>
  <c r="I174" i="4" s="1"/>
  <c r="AO174" i="4"/>
  <c r="BH174" i="4" s="1"/>
  <c r="AD174" i="4" s="1"/>
  <c r="AK174" i="4"/>
  <c r="AJ174" i="4"/>
  <c r="AH174" i="4"/>
  <c r="AG174" i="4"/>
  <c r="AF174" i="4"/>
  <c r="AC174" i="4"/>
  <c r="AB174" i="4"/>
  <c r="Z174" i="4"/>
  <c r="J174" i="4"/>
  <c r="AL174" i="4" s="1"/>
  <c r="H174" i="4"/>
  <c r="BJ173" i="4"/>
  <c r="BF173" i="4"/>
  <c r="BD173" i="4"/>
  <c r="AX173" i="4"/>
  <c r="AW173" i="4"/>
  <c r="AP173" i="4"/>
  <c r="BI173" i="4" s="1"/>
  <c r="AE173" i="4" s="1"/>
  <c r="AO173" i="4"/>
  <c r="BH173" i="4" s="1"/>
  <c r="AD173" i="4" s="1"/>
  <c r="AK173" i="4"/>
  <c r="AT169" i="4" s="1"/>
  <c r="AJ173" i="4"/>
  <c r="AH173" i="4"/>
  <c r="AG173" i="4"/>
  <c r="AF173" i="4"/>
  <c r="AC173" i="4"/>
  <c r="AB173" i="4"/>
  <c r="Z173" i="4"/>
  <c r="J173" i="4"/>
  <c r="AL173" i="4" s="1"/>
  <c r="I173" i="4"/>
  <c r="H173" i="4"/>
  <c r="BJ172" i="4"/>
  <c r="BF172" i="4"/>
  <c r="BD172" i="4"/>
  <c r="AX172" i="4"/>
  <c r="AP172" i="4"/>
  <c r="BI172" i="4" s="1"/>
  <c r="AE172" i="4" s="1"/>
  <c r="AO172" i="4"/>
  <c r="AW172" i="4" s="1"/>
  <c r="AK172" i="4"/>
  <c r="AJ172" i="4"/>
  <c r="AH172" i="4"/>
  <c r="AG172" i="4"/>
  <c r="AF172" i="4"/>
  <c r="AC172" i="4"/>
  <c r="AB172" i="4"/>
  <c r="Z172" i="4"/>
  <c r="J172" i="4"/>
  <c r="AL172" i="4" s="1"/>
  <c r="I172" i="4"/>
  <c r="BJ171" i="4"/>
  <c r="BH171" i="4"/>
  <c r="BF171" i="4"/>
  <c r="BD171" i="4"/>
  <c r="AP171" i="4"/>
  <c r="AX171" i="4" s="1"/>
  <c r="AO171" i="4"/>
  <c r="AL171" i="4"/>
  <c r="AK171" i="4"/>
  <c r="AJ171" i="4"/>
  <c r="AH171" i="4"/>
  <c r="AG171" i="4"/>
  <c r="AF171" i="4"/>
  <c r="AD171" i="4"/>
  <c r="AC171" i="4"/>
  <c r="AB171" i="4"/>
  <c r="Z171" i="4"/>
  <c r="J171" i="4"/>
  <c r="BJ170" i="4"/>
  <c r="BF170" i="4"/>
  <c r="BD170" i="4"/>
  <c r="AP170" i="4"/>
  <c r="BI170" i="4" s="1"/>
  <c r="AE170" i="4" s="1"/>
  <c r="AO170" i="4"/>
  <c r="AW170" i="4" s="1"/>
  <c r="AK170" i="4"/>
  <c r="AJ170" i="4"/>
  <c r="AH170" i="4"/>
  <c r="AG170" i="4"/>
  <c r="AF170" i="4"/>
  <c r="AC170" i="4"/>
  <c r="AB170" i="4"/>
  <c r="Z170" i="4"/>
  <c r="J170" i="4"/>
  <c r="AL170" i="4" s="1"/>
  <c r="AU169" i="4" s="1"/>
  <c r="BJ168" i="4"/>
  <c r="BF168" i="4"/>
  <c r="BD168" i="4"/>
  <c r="AP168" i="4"/>
  <c r="AX168" i="4" s="1"/>
  <c r="AO168" i="4"/>
  <c r="BH168" i="4" s="1"/>
  <c r="AK168" i="4"/>
  <c r="AJ168" i="4"/>
  <c r="AH168" i="4"/>
  <c r="AG168" i="4"/>
  <c r="AF168" i="4"/>
  <c r="AE168" i="4"/>
  <c r="AD168" i="4"/>
  <c r="AC168" i="4"/>
  <c r="AB168" i="4"/>
  <c r="Z168" i="4"/>
  <c r="J168" i="4"/>
  <c r="AL168" i="4" s="1"/>
  <c r="BJ167" i="4"/>
  <c r="BF167" i="4"/>
  <c r="BD167" i="4"/>
  <c r="AP167" i="4"/>
  <c r="AO167" i="4"/>
  <c r="AW167" i="4" s="1"/>
  <c r="AL167" i="4"/>
  <c r="AK167" i="4"/>
  <c r="AJ167" i="4"/>
  <c r="AH167" i="4"/>
  <c r="AG167" i="4"/>
  <c r="AF167" i="4"/>
  <c r="AC167" i="4"/>
  <c r="AB167" i="4"/>
  <c r="Z167" i="4"/>
  <c r="J167" i="4"/>
  <c r="BJ166" i="4"/>
  <c r="BF166" i="4"/>
  <c r="BD166" i="4"/>
  <c r="AW166" i="4"/>
  <c r="AV166" i="4" s="1"/>
  <c r="AP166" i="4"/>
  <c r="AX166" i="4" s="1"/>
  <c r="AO166" i="4"/>
  <c r="BH166" i="4" s="1"/>
  <c r="AD166" i="4" s="1"/>
  <c r="AL166" i="4"/>
  <c r="AK166" i="4"/>
  <c r="AJ166" i="4"/>
  <c r="AH166" i="4"/>
  <c r="AG166" i="4"/>
  <c r="AF166" i="4"/>
  <c r="AC166" i="4"/>
  <c r="AB166" i="4"/>
  <c r="Z166" i="4"/>
  <c r="J166" i="4"/>
  <c r="H166" i="4"/>
  <c r="BJ165" i="4"/>
  <c r="BF165" i="4"/>
  <c r="BD165" i="4"/>
  <c r="AP165" i="4"/>
  <c r="BI165" i="4" s="1"/>
  <c r="AE165" i="4" s="1"/>
  <c r="AO165" i="4"/>
  <c r="AK165" i="4"/>
  <c r="AJ165" i="4"/>
  <c r="AH165" i="4"/>
  <c r="AG165" i="4"/>
  <c r="AF165" i="4"/>
  <c r="AC165" i="4"/>
  <c r="AB165" i="4"/>
  <c r="Z165" i="4"/>
  <c r="J165" i="4"/>
  <c r="AL165" i="4" s="1"/>
  <c r="I165" i="4"/>
  <c r="BJ164" i="4"/>
  <c r="BF164" i="4"/>
  <c r="BD164" i="4"/>
  <c r="AW164" i="4"/>
  <c r="AP164" i="4"/>
  <c r="BI164" i="4" s="1"/>
  <c r="AE164" i="4" s="1"/>
  <c r="AO164" i="4"/>
  <c r="H164" i="4" s="1"/>
  <c r="AK164" i="4"/>
  <c r="AJ164" i="4"/>
  <c r="AH164" i="4"/>
  <c r="AG164" i="4"/>
  <c r="AF164" i="4"/>
  <c r="AC164" i="4"/>
  <c r="AB164" i="4"/>
  <c r="Z164" i="4"/>
  <c r="J164" i="4"/>
  <c r="AL164" i="4" s="1"/>
  <c r="I164" i="4"/>
  <c r="BJ163" i="4"/>
  <c r="BF163" i="4"/>
  <c r="BD163" i="4"/>
  <c r="AP163" i="4"/>
  <c r="I163" i="4" s="1"/>
  <c r="AO163" i="4"/>
  <c r="BH163" i="4" s="1"/>
  <c r="AD163" i="4" s="1"/>
  <c r="AK163" i="4"/>
  <c r="AJ163" i="4"/>
  <c r="AH163" i="4"/>
  <c r="AG163" i="4"/>
  <c r="AF163" i="4"/>
  <c r="AC163" i="4"/>
  <c r="AB163" i="4"/>
  <c r="Z163" i="4"/>
  <c r="J163" i="4"/>
  <c r="AL163" i="4" s="1"/>
  <c r="BJ162" i="4"/>
  <c r="BF162" i="4"/>
  <c r="BD162" i="4"/>
  <c r="AX162" i="4"/>
  <c r="AP162" i="4"/>
  <c r="BI162" i="4" s="1"/>
  <c r="AE162" i="4" s="1"/>
  <c r="AO162" i="4"/>
  <c r="AK162" i="4"/>
  <c r="AJ162" i="4"/>
  <c r="AH162" i="4"/>
  <c r="AG162" i="4"/>
  <c r="AF162" i="4"/>
  <c r="AC162" i="4"/>
  <c r="AB162" i="4"/>
  <c r="Z162" i="4"/>
  <c r="J162" i="4"/>
  <c r="AL162" i="4" s="1"/>
  <c r="I162" i="4"/>
  <c r="H162" i="4"/>
  <c r="BJ161" i="4"/>
  <c r="BF161" i="4"/>
  <c r="BD161" i="4"/>
  <c r="AP161" i="4"/>
  <c r="AO161" i="4"/>
  <c r="AK161" i="4"/>
  <c r="AJ161" i="4"/>
  <c r="AH161" i="4"/>
  <c r="AG161" i="4"/>
  <c r="AF161" i="4"/>
  <c r="AC161" i="4"/>
  <c r="AB161" i="4"/>
  <c r="Z161" i="4"/>
  <c r="J161" i="4"/>
  <c r="AL161" i="4" s="1"/>
  <c r="BJ160" i="4"/>
  <c r="BI160" i="4"/>
  <c r="AE160" i="4" s="1"/>
  <c r="BF160" i="4"/>
  <c r="BD160" i="4"/>
  <c r="AP160" i="4"/>
  <c r="I160" i="4" s="1"/>
  <c r="AO160" i="4"/>
  <c r="BH160" i="4" s="1"/>
  <c r="AD160" i="4" s="1"/>
  <c r="AL160" i="4"/>
  <c r="AK160" i="4"/>
  <c r="AJ160" i="4"/>
  <c r="AH160" i="4"/>
  <c r="AG160" i="4"/>
  <c r="AF160" i="4"/>
  <c r="AC160" i="4"/>
  <c r="AB160" i="4"/>
  <c r="Z160" i="4"/>
  <c r="J160" i="4"/>
  <c r="BJ159" i="4"/>
  <c r="BI159" i="4"/>
  <c r="AE159" i="4" s="1"/>
  <c r="BH159" i="4"/>
  <c r="AD159" i="4" s="1"/>
  <c r="BF159" i="4"/>
  <c r="BD159" i="4"/>
  <c r="AP159" i="4"/>
  <c r="AO159" i="4"/>
  <c r="AW159" i="4" s="1"/>
  <c r="AL159" i="4"/>
  <c r="AK159" i="4"/>
  <c r="AJ159" i="4"/>
  <c r="AH159" i="4"/>
  <c r="AG159" i="4"/>
  <c r="AF159" i="4"/>
  <c r="AC159" i="4"/>
  <c r="AB159" i="4"/>
  <c r="Z159" i="4"/>
  <c r="J159" i="4"/>
  <c r="BJ158" i="4"/>
  <c r="BF158" i="4"/>
  <c r="BD158" i="4"/>
  <c r="AW158" i="4"/>
  <c r="AP158" i="4"/>
  <c r="AO158" i="4"/>
  <c r="AK158" i="4"/>
  <c r="AJ158" i="4"/>
  <c r="AH158" i="4"/>
  <c r="AG158" i="4"/>
  <c r="AF158" i="4"/>
  <c r="AC158" i="4"/>
  <c r="AB158" i="4"/>
  <c r="Z158" i="4"/>
  <c r="J158" i="4"/>
  <c r="AL158" i="4" s="1"/>
  <c r="BJ157" i="4"/>
  <c r="BH157" i="4"/>
  <c r="AD157" i="4" s="1"/>
  <c r="BF157" i="4"/>
  <c r="BD157" i="4"/>
  <c r="AP157" i="4"/>
  <c r="BI157" i="4" s="1"/>
  <c r="AE157" i="4" s="1"/>
  <c r="AO157" i="4"/>
  <c r="AW157" i="4" s="1"/>
  <c r="AK157" i="4"/>
  <c r="AJ157" i="4"/>
  <c r="AH157" i="4"/>
  <c r="AG157" i="4"/>
  <c r="AF157" i="4"/>
  <c r="AC157" i="4"/>
  <c r="AB157" i="4"/>
  <c r="Z157" i="4"/>
  <c r="J157" i="4"/>
  <c r="AL157" i="4" s="1"/>
  <c r="I157" i="4"/>
  <c r="BJ156" i="4"/>
  <c r="BF156" i="4"/>
  <c r="BD156" i="4"/>
  <c r="AP156" i="4"/>
  <c r="AO156" i="4"/>
  <c r="H156" i="4" s="1"/>
  <c r="AK156" i="4"/>
  <c r="AJ156" i="4"/>
  <c r="AH156" i="4"/>
  <c r="AG156" i="4"/>
  <c r="AF156" i="4"/>
  <c r="AC156" i="4"/>
  <c r="AB156" i="4"/>
  <c r="Z156" i="4"/>
  <c r="J156" i="4"/>
  <c r="AL156" i="4" s="1"/>
  <c r="I156" i="4"/>
  <c r="BJ155" i="4"/>
  <c r="BI155" i="4"/>
  <c r="BF155" i="4"/>
  <c r="BD155" i="4"/>
  <c r="AX155" i="4"/>
  <c r="AW155" i="4"/>
  <c r="AP155" i="4"/>
  <c r="AO155" i="4"/>
  <c r="BH155" i="4" s="1"/>
  <c r="AD155" i="4" s="1"/>
  <c r="AK155" i="4"/>
  <c r="AJ155" i="4"/>
  <c r="AH155" i="4"/>
  <c r="AG155" i="4"/>
  <c r="AF155" i="4"/>
  <c r="AE155" i="4"/>
  <c r="AC155" i="4"/>
  <c r="AB155" i="4"/>
  <c r="Z155" i="4"/>
  <c r="J155" i="4"/>
  <c r="AL155" i="4" s="1"/>
  <c r="I155" i="4"/>
  <c r="H155" i="4"/>
  <c r="BJ154" i="4"/>
  <c r="BF154" i="4"/>
  <c r="BD154" i="4"/>
  <c r="AX154" i="4"/>
  <c r="AW154" i="4"/>
  <c r="AP154" i="4"/>
  <c r="BI154" i="4" s="1"/>
  <c r="AE154" i="4" s="1"/>
  <c r="AO154" i="4"/>
  <c r="BH154" i="4" s="1"/>
  <c r="AD154" i="4" s="1"/>
  <c r="AK154" i="4"/>
  <c r="AJ154" i="4"/>
  <c r="AH154" i="4"/>
  <c r="AG154" i="4"/>
  <c r="AF154" i="4"/>
  <c r="AC154" i="4"/>
  <c r="AB154" i="4"/>
  <c r="Z154" i="4"/>
  <c r="J154" i="4"/>
  <c r="AL154" i="4" s="1"/>
  <c r="I154" i="4"/>
  <c r="H154" i="4"/>
  <c r="BJ153" i="4"/>
  <c r="BF153" i="4"/>
  <c r="BD153" i="4"/>
  <c r="AP153" i="4"/>
  <c r="BI153" i="4" s="1"/>
  <c r="AE153" i="4" s="1"/>
  <c r="AO153" i="4"/>
  <c r="H153" i="4" s="1"/>
  <c r="AK153" i="4"/>
  <c r="AJ153" i="4"/>
  <c r="AH153" i="4"/>
  <c r="AG153" i="4"/>
  <c r="AF153" i="4"/>
  <c r="AC153" i="4"/>
  <c r="AB153" i="4"/>
  <c r="Z153" i="4"/>
  <c r="J153" i="4"/>
  <c r="AL153" i="4" s="1"/>
  <c r="BJ152" i="4"/>
  <c r="BF152" i="4"/>
  <c r="BD152" i="4"/>
  <c r="AP152" i="4"/>
  <c r="I152" i="4" s="1"/>
  <c r="AO152" i="4"/>
  <c r="BH152" i="4" s="1"/>
  <c r="AD152" i="4" s="1"/>
  <c r="AK152" i="4"/>
  <c r="AJ152" i="4"/>
  <c r="AS149" i="4" s="1"/>
  <c r="AH152" i="4"/>
  <c r="AG152" i="4"/>
  <c r="AF152" i="4"/>
  <c r="AC152" i="4"/>
  <c r="AB152" i="4"/>
  <c r="Z152" i="4"/>
  <c r="J152" i="4"/>
  <c r="AL152" i="4" s="1"/>
  <c r="BJ151" i="4"/>
  <c r="BF151" i="4"/>
  <c r="BD151" i="4"/>
  <c r="AP151" i="4"/>
  <c r="BI151" i="4" s="1"/>
  <c r="AE151" i="4" s="1"/>
  <c r="AO151" i="4"/>
  <c r="AL151" i="4"/>
  <c r="AK151" i="4"/>
  <c r="AJ151" i="4"/>
  <c r="AH151" i="4"/>
  <c r="AG151" i="4"/>
  <c r="AF151" i="4"/>
  <c r="AC151" i="4"/>
  <c r="AB151" i="4"/>
  <c r="Z151" i="4"/>
  <c r="J151" i="4"/>
  <c r="BJ150" i="4"/>
  <c r="BI150" i="4"/>
  <c r="AE150" i="4" s="1"/>
  <c r="BH150" i="4"/>
  <c r="AD150" i="4" s="1"/>
  <c r="BF150" i="4"/>
  <c r="BD150" i="4"/>
  <c r="AP150" i="4"/>
  <c r="AX150" i="4" s="1"/>
  <c r="AO150" i="4"/>
  <c r="AW150" i="4" s="1"/>
  <c r="AL150" i="4"/>
  <c r="AK150" i="4"/>
  <c r="AJ150" i="4"/>
  <c r="AH150" i="4"/>
  <c r="AG150" i="4"/>
  <c r="AF150" i="4"/>
  <c r="AC150" i="4"/>
  <c r="AB150" i="4"/>
  <c r="Z150" i="4"/>
  <c r="J150" i="4"/>
  <c r="BJ148" i="4"/>
  <c r="Z148" i="4" s="1"/>
  <c r="BF148" i="4"/>
  <c r="BD148" i="4"/>
  <c r="AP148" i="4"/>
  <c r="AO148" i="4"/>
  <c r="AW148" i="4" s="1"/>
  <c r="AK148" i="4"/>
  <c r="AJ148" i="4"/>
  <c r="AH148" i="4"/>
  <c r="AG148" i="4"/>
  <c r="AF148" i="4"/>
  <c r="AE148" i="4"/>
  <c r="AD148" i="4"/>
  <c r="AC148" i="4"/>
  <c r="AB148" i="4"/>
  <c r="J148" i="4"/>
  <c r="AL148" i="4" s="1"/>
  <c r="H148" i="4"/>
  <c r="BJ147" i="4"/>
  <c r="BI147" i="4"/>
  <c r="AE147" i="4" s="1"/>
  <c r="BH147" i="4"/>
  <c r="AD147" i="4" s="1"/>
  <c r="BF147" i="4"/>
  <c r="BD147" i="4"/>
  <c r="AP147" i="4"/>
  <c r="AX147" i="4" s="1"/>
  <c r="AO147" i="4"/>
  <c r="AW147" i="4" s="1"/>
  <c r="AK147" i="4"/>
  <c r="AJ147" i="4"/>
  <c r="AH147" i="4"/>
  <c r="AG147" i="4"/>
  <c r="AF147" i="4"/>
  <c r="AC147" i="4"/>
  <c r="AB147" i="4"/>
  <c r="Z147" i="4"/>
  <c r="J147" i="4"/>
  <c r="AL147" i="4" s="1"/>
  <c r="BJ146" i="4"/>
  <c r="BF146" i="4"/>
  <c r="BD146" i="4"/>
  <c r="AP146" i="4"/>
  <c r="AX146" i="4" s="1"/>
  <c r="AO146" i="4"/>
  <c r="AL146" i="4"/>
  <c r="AK146" i="4"/>
  <c r="AJ146" i="4"/>
  <c r="AH146" i="4"/>
  <c r="AG146" i="4"/>
  <c r="AF146" i="4"/>
  <c r="AC146" i="4"/>
  <c r="AB146" i="4"/>
  <c r="Z146" i="4"/>
  <c r="J146" i="4"/>
  <c r="BJ145" i="4"/>
  <c r="BH145" i="4"/>
  <c r="AD145" i="4" s="1"/>
  <c r="BF145" i="4"/>
  <c r="BD145" i="4"/>
  <c r="AP145" i="4"/>
  <c r="AX145" i="4" s="1"/>
  <c r="AO145" i="4"/>
  <c r="AK145" i="4"/>
  <c r="AJ145" i="4"/>
  <c r="AH145" i="4"/>
  <c r="AG145" i="4"/>
  <c r="AF145" i="4"/>
  <c r="AC145" i="4"/>
  <c r="AB145" i="4"/>
  <c r="Z145" i="4"/>
  <c r="J145" i="4"/>
  <c r="AL145" i="4" s="1"/>
  <c r="BJ144" i="4"/>
  <c r="BF144" i="4"/>
  <c r="BD144" i="4"/>
  <c r="AW144" i="4"/>
  <c r="AP144" i="4"/>
  <c r="I144" i="4" s="1"/>
  <c r="AO144" i="4"/>
  <c r="BH144" i="4" s="1"/>
  <c r="AD144" i="4" s="1"/>
  <c r="AK144" i="4"/>
  <c r="AJ144" i="4"/>
  <c r="AH144" i="4"/>
  <c r="AG144" i="4"/>
  <c r="AF144" i="4"/>
  <c r="AC144" i="4"/>
  <c r="AB144" i="4"/>
  <c r="Z144" i="4"/>
  <c r="J144" i="4"/>
  <c r="AL144" i="4" s="1"/>
  <c r="H144" i="4"/>
  <c r="BJ143" i="4"/>
  <c r="BF143" i="4"/>
  <c r="BD143" i="4"/>
  <c r="AP143" i="4"/>
  <c r="AO143" i="4"/>
  <c r="AK143" i="4"/>
  <c r="AJ143" i="4"/>
  <c r="AH143" i="4"/>
  <c r="AG143" i="4"/>
  <c r="AF143" i="4"/>
  <c r="AC143" i="4"/>
  <c r="AB143" i="4"/>
  <c r="Z143" i="4"/>
  <c r="J143" i="4"/>
  <c r="AL143" i="4" s="1"/>
  <c r="H143" i="4"/>
  <c r="BJ142" i="4"/>
  <c r="BF142" i="4"/>
  <c r="BD142" i="4"/>
  <c r="AX142" i="4"/>
  <c r="AP142" i="4"/>
  <c r="BI142" i="4" s="1"/>
  <c r="AE142" i="4" s="1"/>
  <c r="AO142" i="4"/>
  <c r="H142" i="4" s="1"/>
  <c r="AK142" i="4"/>
  <c r="AJ142" i="4"/>
  <c r="AH142" i="4"/>
  <c r="AG142" i="4"/>
  <c r="AF142" i="4"/>
  <c r="AC142" i="4"/>
  <c r="AB142" i="4"/>
  <c r="Z142" i="4"/>
  <c r="J142" i="4"/>
  <c r="AL142" i="4" s="1"/>
  <c r="I142" i="4"/>
  <c r="BJ141" i="4"/>
  <c r="BI141" i="4"/>
  <c r="AE141" i="4" s="1"/>
  <c r="BF141" i="4"/>
  <c r="BD141" i="4"/>
  <c r="AP141" i="4"/>
  <c r="I141" i="4" s="1"/>
  <c r="AO141" i="4"/>
  <c r="BH141" i="4" s="1"/>
  <c r="AD141" i="4" s="1"/>
  <c r="AK141" i="4"/>
  <c r="AJ141" i="4"/>
  <c r="AH141" i="4"/>
  <c r="AG141" i="4"/>
  <c r="AF141" i="4"/>
  <c r="AC141" i="4"/>
  <c r="AB141" i="4"/>
  <c r="Z141" i="4"/>
  <c r="J141" i="4"/>
  <c r="AL141" i="4" s="1"/>
  <c r="BJ140" i="4"/>
  <c r="BF140" i="4"/>
  <c r="BD140" i="4"/>
  <c r="AP140" i="4"/>
  <c r="BI140" i="4" s="1"/>
  <c r="AE140" i="4" s="1"/>
  <c r="AO140" i="4"/>
  <c r="H140" i="4" s="1"/>
  <c r="AL140" i="4"/>
  <c r="AK140" i="4"/>
  <c r="AJ140" i="4"/>
  <c r="AH140" i="4"/>
  <c r="AG140" i="4"/>
  <c r="AF140" i="4"/>
  <c r="AC140" i="4"/>
  <c r="AB140" i="4"/>
  <c r="Z140" i="4"/>
  <c r="J140" i="4"/>
  <c r="I140" i="4"/>
  <c r="BJ139" i="4"/>
  <c r="BF139" i="4"/>
  <c r="BD139" i="4"/>
  <c r="AX139" i="4"/>
  <c r="AP139" i="4"/>
  <c r="I139" i="4" s="1"/>
  <c r="AO139" i="4"/>
  <c r="AW139" i="4" s="1"/>
  <c r="AK139" i="4"/>
  <c r="AJ139" i="4"/>
  <c r="AH139" i="4"/>
  <c r="AG139" i="4"/>
  <c r="AF139" i="4"/>
  <c r="AC139" i="4"/>
  <c r="AB139" i="4"/>
  <c r="Z139" i="4"/>
  <c r="J139" i="4"/>
  <c r="BJ138" i="4"/>
  <c r="BF138" i="4"/>
  <c r="BD138" i="4"/>
  <c r="AP138" i="4"/>
  <c r="AX138" i="4" s="1"/>
  <c r="AO138" i="4"/>
  <c r="AW138" i="4" s="1"/>
  <c r="AL138" i="4"/>
  <c r="AK138" i="4"/>
  <c r="AJ138" i="4"/>
  <c r="AH138" i="4"/>
  <c r="AG138" i="4"/>
  <c r="AF138" i="4"/>
  <c r="AC138" i="4"/>
  <c r="AB138" i="4"/>
  <c r="Z138" i="4"/>
  <c r="J138" i="4"/>
  <c r="BJ136" i="4"/>
  <c r="Z136" i="4" s="1"/>
  <c r="BF136" i="4"/>
  <c r="BD136" i="4"/>
  <c r="AP136" i="4"/>
  <c r="AO136" i="4"/>
  <c r="AW136" i="4" s="1"/>
  <c r="AK136" i="4"/>
  <c r="AJ136" i="4"/>
  <c r="AH136" i="4"/>
  <c r="AG136" i="4"/>
  <c r="AF136" i="4"/>
  <c r="AE136" i="4"/>
  <c r="AD136" i="4"/>
  <c r="AC136" i="4"/>
  <c r="AB136" i="4"/>
  <c r="J136" i="4"/>
  <c r="AL136" i="4" s="1"/>
  <c r="BJ135" i="4"/>
  <c r="BF135" i="4"/>
  <c r="BD135" i="4"/>
  <c r="AP135" i="4"/>
  <c r="AX135" i="4" s="1"/>
  <c r="AO135" i="4"/>
  <c r="AW135" i="4" s="1"/>
  <c r="AK135" i="4"/>
  <c r="AJ135" i="4"/>
  <c r="AH135" i="4"/>
  <c r="AG135" i="4"/>
  <c r="AF135" i="4"/>
  <c r="AC135" i="4"/>
  <c r="AB135" i="4"/>
  <c r="Z135" i="4"/>
  <c r="J135" i="4"/>
  <c r="AL135" i="4" s="1"/>
  <c r="BJ134" i="4"/>
  <c r="BF134" i="4"/>
  <c r="BD134" i="4"/>
  <c r="AP134" i="4"/>
  <c r="AX134" i="4" s="1"/>
  <c r="AO134" i="4"/>
  <c r="BH134" i="4" s="1"/>
  <c r="AD134" i="4" s="1"/>
  <c r="AL134" i="4"/>
  <c r="AK134" i="4"/>
  <c r="AJ134" i="4"/>
  <c r="AH134" i="4"/>
  <c r="AG134" i="4"/>
  <c r="AF134" i="4"/>
  <c r="AC134" i="4"/>
  <c r="AB134" i="4"/>
  <c r="Z134" i="4"/>
  <c r="J134" i="4"/>
  <c r="BJ133" i="4"/>
  <c r="BI133" i="4"/>
  <c r="AE133" i="4" s="1"/>
  <c r="BF133" i="4"/>
  <c r="BD133" i="4"/>
  <c r="AP133" i="4"/>
  <c r="AO133" i="4"/>
  <c r="AW133" i="4" s="1"/>
  <c r="AL133" i="4"/>
  <c r="AK133" i="4"/>
  <c r="AJ133" i="4"/>
  <c r="AH133" i="4"/>
  <c r="AG133" i="4"/>
  <c r="AF133" i="4"/>
  <c r="AC133" i="4"/>
  <c r="AB133" i="4"/>
  <c r="Z133" i="4"/>
  <c r="J133" i="4"/>
  <c r="BJ132" i="4"/>
  <c r="BF132" i="4"/>
  <c r="BD132" i="4"/>
  <c r="AP132" i="4"/>
  <c r="AX132" i="4" s="1"/>
  <c r="AO132" i="4"/>
  <c r="BH132" i="4" s="1"/>
  <c r="AD132" i="4" s="1"/>
  <c r="AK132" i="4"/>
  <c r="AJ132" i="4"/>
  <c r="AH132" i="4"/>
  <c r="AG132" i="4"/>
  <c r="AF132" i="4"/>
  <c r="AC132" i="4"/>
  <c r="AB132" i="4"/>
  <c r="Z132" i="4"/>
  <c r="J132" i="4"/>
  <c r="AL132" i="4" s="1"/>
  <c r="H132" i="4"/>
  <c r="AS131" i="4"/>
  <c r="BJ130" i="4"/>
  <c r="Z130" i="4" s="1"/>
  <c r="BF130" i="4"/>
  <c r="BD130" i="4"/>
  <c r="AP130" i="4"/>
  <c r="AO130" i="4"/>
  <c r="AW130" i="4" s="1"/>
  <c r="AL130" i="4"/>
  <c r="AK130" i="4"/>
  <c r="AJ130" i="4"/>
  <c r="AH130" i="4"/>
  <c r="AG130" i="4"/>
  <c r="AF130" i="4"/>
  <c r="AE130" i="4"/>
  <c r="AD130" i="4"/>
  <c r="AC130" i="4"/>
  <c r="AB130" i="4"/>
  <c r="J130" i="4"/>
  <c r="BJ129" i="4"/>
  <c r="BF129" i="4"/>
  <c r="BD129" i="4"/>
  <c r="AP129" i="4"/>
  <c r="AX129" i="4" s="1"/>
  <c r="AO129" i="4"/>
  <c r="BH129" i="4" s="1"/>
  <c r="AB129" i="4" s="1"/>
  <c r="AK129" i="4"/>
  <c r="AJ129" i="4"/>
  <c r="AH129" i="4"/>
  <c r="AG129" i="4"/>
  <c r="AF129" i="4"/>
  <c r="AE129" i="4"/>
  <c r="AD129" i="4"/>
  <c r="Z129" i="4"/>
  <c r="J129" i="4"/>
  <c r="AL129" i="4" s="1"/>
  <c r="H129" i="4"/>
  <c r="BJ128" i="4"/>
  <c r="BF128" i="4"/>
  <c r="BD128" i="4"/>
  <c r="AW128" i="4"/>
  <c r="AP128" i="4"/>
  <c r="BI128" i="4" s="1"/>
  <c r="AC128" i="4" s="1"/>
  <c r="AO128" i="4"/>
  <c r="BH128" i="4" s="1"/>
  <c r="AB128" i="4" s="1"/>
  <c r="AK128" i="4"/>
  <c r="AJ128" i="4"/>
  <c r="AH128" i="4"/>
  <c r="AG128" i="4"/>
  <c r="AF128" i="4"/>
  <c r="AE128" i="4"/>
  <c r="AD128" i="4"/>
  <c r="Z128" i="4"/>
  <c r="J128" i="4"/>
  <c r="AL128" i="4" s="1"/>
  <c r="I128" i="4"/>
  <c r="H128" i="4"/>
  <c r="BJ127" i="4"/>
  <c r="BF127" i="4"/>
  <c r="BD127" i="4"/>
  <c r="AW127" i="4"/>
  <c r="AP127" i="4"/>
  <c r="AO127" i="4"/>
  <c r="BH127" i="4" s="1"/>
  <c r="AB127" i="4" s="1"/>
  <c r="AK127" i="4"/>
  <c r="AJ127" i="4"/>
  <c r="AH127" i="4"/>
  <c r="AG127" i="4"/>
  <c r="AF127" i="4"/>
  <c r="AE127" i="4"/>
  <c r="AD127" i="4"/>
  <c r="Z127" i="4"/>
  <c r="J127" i="4"/>
  <c r="AL127" i="4" s="1"/>
  <c r="H127" i="4"/>
  <c r="BJ126" i="4"/>
  <c r="BF126" i="4"/>
  <c r="BD126" i="4"/>
  <c r="AX126" i="4"/>
  <c r="AW126" i="4"/>
  <c r="AP126" i="4"/>
  <c r="BI126" i="4" s="1"/>
  <c r="AC126" i="4" s="1"/>
  <c r="AO126" i="4"/>
  <c r="BH126" i="4" s="1"/>
  <c r="AB126" i="4" s="1"/>
  <c r="AK126" i="4"/>
  <c r="AJ126" i="4"/>
  <c r="AH126" i="4"/>
  <c r="AG126" i="4"/>
  <c r="AF126" i="4"/>
  <c r="AE126" i="4"/>
  <c r="AD126" i="4"/>
  <c r="Z126" i="4"/>
  <c r="J126" i="4"/>
  <c r="AL126" i="4" s="1"/>
  <c r="I126" i="4"/>
  <c r="H126" i="4"/>
  <c r="BJ124" i="4"/>
  <c r="BF124" i="4"/>
  <c r="BD124" i="4"/>
  <c r="AW124" i="4"/>
  <c r="AP124" i="4"/>
  <c r="BI124" i="4" s="1"/>
  <c r="AC124" i="4" s="1"/>
  <c r="AO124" i="4"/>
  <c r="BH124" i="4" s="1"/>
  <c r="AB124" i="4" s="1"/>
  <c r="AK124" i="4"/>
  <c r="AJ124" i="4"/>
  <c r="AH124" i="4"/>
  <c r="AG124" i="4"/>
  <c r="AF124" i="4"/>
  <c r="AE124" i="4"/>
  <c r="AD124" i="4"/>
  <c r="Z124" i="4"/>
  <c r="J124" i="4"/>
  <c r="H124" i="4"/>
  <c r="BJ123" i="4"/>
  <c r="BF123" i="4"/>
  <c r="BD123" i="4"/>
  <c r="AX123" i="4"/>
  <c r="BC123" i="4" s="1"/>
  <c r="AW123" i="4"/>
  <c r="AP123" i="4"/>
  <c r="BI123" i="4" s="1"/>
  <c r="AC123" i="4" s="1"/>
  <c r="AO123" i="4"/>
  <c r="BH123" i="4" s="1"/>
  <c r="AB123" i="4" s="1"/>
  <c r="AK123" i="4"/>
  <c r="AJ123" i="4"/>
  <c r="AH123" i="4"/>
  <c r="AG123" i="4"/>
  <c r="AF123" i="4"/>
  <c r="AE123" i="4"/>
  <c r="AD123" i="4"/>
  <c r="Z123" i="4"/>
  <c r="J123" i="4"/>
  <c r="AL123" i="4" s="1"/>
  <c r="I123" i="4"/>
  <c r="H123" i="4"/>
  <c r="BJ122" i="4"/>
  <c r="BF122" i="4"/>
  <c r="BD122" i="4"/>
  <c r="AP122" i="4"/>
  <c r="BI122" i="4" s="1"/>
  <c r="AC122" i="4" s="1"/>
  <c r="AO122" i="4"/>
  <c r="AW122" i="4" s="1"/>
  <c r="AK122" i="4"/>
  <c r="AJ122" i="4"/>
  <c r="AH122" i="4"/>
  <c r="AG122" i="4"/>
  <c r="AF122" i="4"/>
  <c r="AE122" i="4"/>
  <c r="AD122" i="4"/>
  <c r="Z122" i="4"/>
  <c r="J122" i="4"/>
  <c r="AL122" i="4" s="1"/>
  <c r="BJ121" i="4"/>
  <c r="BF121" i="4"/>
  <c r="BD121" i="4"/>
  <c r="AP121" i="4"/>
  <c r="AO121" i="4"/>
  <c r="AW121" i="4" s="1"/>
  <c r="AK121" i="4"/>
  <c r="AJ121" i="4"/>
  <c r="AH121" i="4"/>
  <c r="AG121" i="4"/>
  <c r="AF121" i="4"/>
  <c r="AE121" i="4"/>
  <c r="AD121" i="4"/>
  <c r="Z121" i="4"/>
  <c r="J121" i="4"/>
  <c r="AL121" i="4" s="1"/>
  <c r="BJ120" i="4"/>
  <c r="BH120" i="4"/>
  <c r="AB120" i="4" s="1"/>
  <c r="BF120" i="4"/>
  <c r="BD120" i="4"/>
  <c r="AP120" i="4"/>
  <c r="AX120" i="4" s="1"/>
  <c r="AO120" i="4"/>
  <c r="AL120" i="4"/>
  <c r="AK120" i="4"/>
  <c r="AJ120" i="4"/>
  <c r="AH120" i="4"/>
  <c r="AG120" i="4"/>
  <c r="AF120" i="4"/>
  <c r="AE120" i="4"/>
  <c r="AD120" i="4"/>
  <c r="Z120" i="4"/>
  <c r="J120" i="4"/>
  <c r="BJ119" i="4"/>
  <c r="BF119" i="4"/>
  <c r="BD119" i="4"/>
  <c r="AP119" i="4"/>
  <c r="BI119" i="4" s="1"/>
  <c r="AC119" i="4" s="1"/>
  <c r="AO119" i="4"/>
  <c r="AW119" i="4" s="1"/>
  <c r="AL119" i="4"/>
  <c r="AK119" i="4"/>
  <c r="AJ119" i="4"/>
  <c r="AH119" i="4"/>
  <c r="AG119" i="4"/>
  <c r="AF119" i="4"/>
  <c r="AE119" i="4"/>
  <c r="AD119" i="4"/>
  <c r="Z119" i="4"/>
  <c r="J119" i="4"/>
  <c r="BJ117" i="4"/>
  <c r="BF117" i="4"/>
  <c r="BD117" i="4"/>
  <c r="AP117" i="4"/>
  <c r="AX117" i="4" s="1"/>
  <c r="AO117" i="4"/>
  <c r="AL117" i="4"/>
  <c r="AK117" i="4"/>
  <c r="AJ117" i="4"/>
  <c r="AH117" i="4"/>
  <c r="AG117" i="4"/>
  <c r="AF117" i="4"/>
  <c r="AE117" i="4"/>
  <c r="AD117" i="4"/>
  <c r="Z117" i="4"/>
  <c r="J117" i="4"/>
  <c r="BJ116" i="4"/>
  <c r="BF116" i="4"/>
  <c r="BD116" i="4"/>
  <c r="AP116" i="4"/>
  <c r="AO116" i="4"/>
  <c r="AW116" i="4" s="1"/>
  <c r="AK116" i="4"/>
  <c r="AJ116" i="4"/>
  <c r="AH116" i="4"/>
  <c r="AG116" i="4"/>
  <c r="AF116" i="4"/>
  <c r="AE116" i="4"/>
  <c r="AD116" i="4"/>
  <c r="Z116" i="4"/>
  <c r="J116" i="4"/>
  <c r="AL116" i="4" s="1"/>
  <c r="BJ115" i="4"/>
  <c r="BF115" i="4"/>
  <c r="BD115" i="4"/>
  <c r="AP115" i="4"/>
  <c r="AX115" i="4" s="1"/>
  <c r="AO115" i="4"/>
  <c r="AL115" i="4"/>
  <c r="AK115" i="4"/>
  <c r="AJ115" i="4"/>
  <c r="AH115" i="4"/>
  <c r="AG115" i="4"/>
  <c r="AF115" i="4"/>
  <c r="AE115" i="4"/>
  <c r="AD115" i="4"/>
  <c r="Z115" i="4"/>
  <c r="J115" i="4"/>
  <c r="BJ114" i="4"/>
  <c r="BF114" i="4"/>
  <c r="BD114" i="4"/>
  <c r="AP114" i="4"/>
  <c r="AO114" i="4"/>
  <c r="BH114" i="4" s="1"/>
  <c r="AB114" i="4" s="1"/>
  <c r="AK114" i="4"/>
  <c r="AJ114" i="4"/>
  <c r="AH114" i="4"/>
  <c r="AG114" i="4"/>
  <c r="AF114" i="4"/>
  <c r="AE114" i="4"/>
  <c r="AD114" i="4"/>
  <c r="Z114" i="4"/>
  <c r="J114" i="4"/>
  <c r="AL114" i="4" s="1"/>
  <c r="BJ113" i="4"/>
  <c r="BF113" i="4"/>
  <c r="BD113" i="4"/>
  <c r="AX113" i="4"/>
  <c r="AV113" i="4" s="1"/>
  <c r="AW113" i="4"/>
  <c r="AP113" i="4"/>
  <c r="BI113" i="4" s="1"/>
  <c r="AC113" i="4" s="1"/>
  <c r="AO113" i="4"/>
  <c r="BH113" i="4" s="1"/>
  <c r="AB113" i="4" s="1"/>
  <c r="AK113" i="4"/>
  <c r="AJ113" i="4"/>
  <c r="AH113" i="4"/>
  <c r="AG113" i="4"/>
  <c r="AF113" i="4"/>
  <c r="AE113" i="4"/>
  <c r="AD113" i="4"/>
  <c r="Z113" i="4"/>
  <c r="J113" i="4"/>
  <c r="AL113" i="4" s="1"/>
  <c r="H113" i="4"/>
  <c r="BJ112" i="4"/>
  <c r="BF112" i="4"/>
  <c r="BD112" i="4"/>
  <c r="AW112" i="4"/>
  <c r="AP112" i="4"/>
  <c r="AO112" i="4"/>
  <c r="BH112" i="4" s="1"/>
  <c r="AB112" i="4" s="1"/>
  <c r="AK112" i="4"/>
  <c r="AJ112" i="4"/>
  <c r="AH112" i="4"/>
  <c r="AG112" i="4"/>
  <c r="AF112" i="4"/>
  <c r="AE112" i="4"/>
  <c r="AD112" i="4"/>
  <c r="Z112" i="4"/>
  <c r="J112" i="4"/>
  <c r="AL112" i="4" s="1"/>
  <c r="H112" i="4"/>
  <c r="BJ111" i="4"/>
  <c r="BF111" i="4"/>
  <c r="BD111" i="4"/>
  <c r="AP111" i="4"/>
  <c r="BI111" i="4" s="1"/>
  <c r="AC111" i="4" s="1"/>
  <c r="AO111" i="4"/>
  <c r="H111" i="4" s="1"/>
  <c r="AK111" i="4"/>
  <c r="AT108" i="4" s="1"/>
  <c r="AJ111" i="4"/>
  <c r="AH111" i="4"/>
  <c r="AG111" i="4"/>
  <c r="AF111" i="4"/>
  <c r="AE111" i="4"/>
  <c r="AD111" i="4"/>
  <c r="Z111" i="4"/>
  <c r="J111" i="4"/>
  <c r="AL111" i="4" s="1"/>
  <c r="I111" i="4"/>
  <c r="BJ110" i="4"/>
  <c r="BF110" i="4"/>
  <c r="BD110" i="4"/>
  <c r="AX110" i="4"/>
  <c r="AP110" i="4"/>
  <c r="I110" i="4" s="1"/>
  <c r="AO110" i="4"/>
  <c r="AW110" i="4" s="1"/>
  <c r="AK110" i="4"/>
  <c r="AJ110" i="4"/>
  <c r="AH110" i="4"/>
  <c r="AG110" i="4"/>
  <c r="AF110" i="4"/>
  <c r="AE110" i="4"/>
  <c r="AD110" i="4"/>
  <c r="Z110" i="4"/>
  <c r="J110" i="4"/>
  <c r="J108" i="4" s="1"/>
  <c r="BJ109" i="4"/>
  <c r="BF109" i="4"/>
  <c r="BD109" i="4"/>
  <c r="AP109" i="4"/>
  <c r="AX109" i="4" s="1"/>
  <c r="AO109" i="4"/>
  <c r="AL109" i="4"/>
  <c r="AK109" i="4"/>
  <c r="AJ109" i="4"/>
  <c r="AH109" i="4"/>
  <c r="AG109" i="4"/>
  <c r="AF109" i="4"/>
  <c r="AE109" i="4"/>
  <c r="AD109" i="4"/>
  <c r="Z109" i="4"/>
  <c r="J109" i="4"/>
  <c r="BJ107" i="4"/>
  <c r="BF107" i="4"/>
  <c r="BD107" i="4"/>
  <c r="AP107" i="4"/>
  <c r="I107" i="4" s="1"/>
  <c r="AO107" i="4"/>
  <c r="AW107" i="4" s="1"/>
  <c r="AK107" i="4"/>
  <c r="AT102" i="4" s="1"/>
  <c r="AJ107" i="4"/>
  <c r="AH107" i="4"/>
  <c r="AG107" i="4"/>
  <c r="AF107" i="4"/>
  <c r="AE107" i="4"/>
  <c r="AD107" i="4"/>
  <c r="Z107" i="4"/>
  <c r="J107" i="4"/>
  <c r="AL107" i="4" s="1"/>
  <c r="BJ106" i="4"/>
  <c r="BF106" i="4"/>
  <c r="BD106" i="4"/>
  <c r="AP106" i="4"/>
  <c r="AX106" i="4" s="1"/>
  <c r="AO106" i="4"/>
  <c r="BH106" i="4" s="1"/>
  <c r="AB106" i="4" s="1"/>
  <c r="AL106" i="4"/>
  <c r="AK106" i="4"/>
  <c r="AJ106" i="4"/>
  <c r="AH106" i="4"/>
  <c r="AG106" i="4"/>
  <c r="AF106" i="4"/>
  <c r="AE106" i="4"/>
  <c r="AD106" i="4"/>
  <c r="Z106" i="4"/>
  <c r="J106" i="4"/>
  <c r="BJ105" i="4"/>
  <c r="BI105" i="4"/>
  <c r="AC105" i="4" s="1"/>
  <c r="BF105" i="4"/>
  <c r="BD105" i="4"/>
  <c r="AP105" i="4"/>
  <c r="AO105" i="4"/>
  <c r="AW105" i="4" s="1"/>
  <c r="AL105" i="4"/>
  <c r="AK105" i="4"/>
  <c r="AJ105" i="4"/>
  <c r="AH105" i="4"/>
  <c r="AG105" i="4"/>
  <c r="AF105" i="4"/>
  <c r="AE105" i="4"/>
  <c r="AD105" i="4"/>
  <c r="Z105" i="4"/>
  <c r="J105" i="4"/>
  <c r="BJ104" i="4"/>
  <c r="BF104" i="4"/>
  <c r="BD104" i="4"/>
  <c r="AP104" i="4"/>
  <c r="AX104" i="4" s="1"/>
  <c r="AO104" i="4"/>
  <c r="BH104" i="4" s="1"/>
  <c r="AB104" i="4" s="1"/>
  <c r="AK104" i="4"/>
  <c r="AJ104" i="4"/>
  <c r="AH104" i="4"/>
  <c r="AG104" i="4"/>
  <c r="AF104" i="4"/>
  <c r="AE104" i="4"/>
  <c r="AD104" i="4"/>
  <c r="Z104" i="4"/>
  <c r="J104" i="4"/>
  <c r="AL104" i="4" s="1"/>
  <c r="H104" i="4"/>
  <c r="BJ103" i="4"/>
  <c r="BF103" i="4"/>
  <c r="BD103" i="4"/>
  <c r="AW103" i="4"/>
  <c r="AP103" i="4"/>
  <c r="BI103" i="4" s="1"/>
  <c r="AC103" i="4" s="1"/>
  <c r="AO103" i="4"/>
  <c r="AK103" i="4"/>
  <c r="AJ103" i="4"/>
  <c r="AS102" i="4" s="1"/>
  <c r="AH103" i="4"/>
  <c r="AG103" i="4"/>
  <c r="AF103" i="4"/>
  <c r="AE103" i="4"/>
  <c r="AD103" i="4"/>
  <c r="Z103" i="4"/>
  <c r="J103" i="4"/>
  <c r="AL103" i="4" s="1"/>
  <c r="I103" i="4"/>
  <c r="BJ101" i="4"/>
  <c r="BF101" i="4"/>
  <c r="BD101" i="4"/>
  <c r="AP101" i="4"/>
  <c r="AX101" i="4" s="1"/>
  <c r="AO101" i="4"/>
  <c r="BH101" i="4" s="1"/>
  <c r="AB101" i="4" s="1"/>
  <c r="AK101" i="4"/>
  <c r="AJ101" i="4"/>
  <c r="AH101" i="4"/>
  <c r="AG101" i="4"/>
  <c r="AF101" i="4"/>
  <c r="AE101" i="4"/>
  <c r="AD101" i="4"/>
  <c r="Z101" i="4"/>
  <c r="J101" i="4"/>
  <c r="AL101" i="4" s="1"/>
  <c r="H101" i="4"/>
  <c r="BJ100" i="4"/>
  <c r="BF100" i="4"/>
  <c r="BD100" i="4"/>
  <c r="AP100" i="4"/>
  <c r="BI100" i="4" s="1"/>
  <c r="AC100" i="4" s="1"/>
  <c r="AO100" i="4"/>
  <c r="H100" i="4" s="1"/>
  <c r="AK100" i="4"/>
  <c r="AJ100" i="4"/>
  <c r="AH100" i="4"/>
  <c r="AG100" i="4"/>
  <c r="AF100" i="4"/>
  <c r="AE100" i="4"/>
  <c r="AD100" i="4"/>
  <c r="Z100" i="4"/>
  <c r="J100" i="4"/>
  <c r="AL100" i="4" s="1"/>
  <c r="I100" i="4"/>
  <c r="BJ99" i="4"/>
  <c r="BF99" i="4"/>
  <c r="BD99" i="4"/>
  <c r="AX99" i="4"/>
  <c r="AV99" i="4" s="1"/>
  <c r="AW99" i="4"/>
  <c r="AP99" i="4"/>
  <c r="I99" i="4" s="1"/>
  <c r="AO99" i="4"/>
  <c r="BH99" i="4" s="1"/>
  <c r="AB99" i="4" s="1"/>
  <c r="AK99" i="4"/>
  <c r="AJ99" i="4"/>
  <c r="AH99" i="4"/>
  <c r="AG99" i="4"/>
  <c r="AF99" i="4"/>
  <c r="AE99" i="4"/>
  <c r="AD99" i="4"/>
  <c r="Z99" i="4"/>
  <c r="J99" i="4"/>
  <c r="AL99" i="4" s="1"/>
  <c r="H99" i="4"/>
  <c r="BJ98" i="4"/>
  <c r="BF98" i="4"/>
  <c r="BD98" i="4"/>
  <c r="BC98" i="4"/>
  <c r="AX98" i="4"/>
  <c r="AW98" i="4"/>
  <c r="AV98" i="4" s="1"/>
  <c r="AP98" i="4"/>
  <c r="BI98" i="4" s="1"/>
  <c r="AC98" i="4" s="1"/>
  <c r="AO98" i="4"/>
  <c r="BH98" i="4" s="1"/>
  <c r="AB98" i="4" s="1"/>
  <c r="AK98" i="4"/>
  <c r="AJ98" i="4"/>
  <c r="AH98" i="4"/>
  <c r="AG98" i="4"/>
  <c r="AF98" i="4"/>
  <c r="AE98" i="4"/>
  <c r="AD98" i="4"/>
  <c r="Z98" i="4"/>
  <c r="J98" i="4"/>
  <c r="AL98" i="4" s="1"/>
  <c r="I98" i="4"/>
  <c r="H98" i="4"/>
  <c r="BJ97" i="4"/>
  <c r="BF97" i="4"/>
  <c r="BD97" i="4"/>
  <c r="AX97" i="4"/>
  <c r="AW97" i="4"/>
  <c r="AP97" i="4"/>
  <c r="BI97" i="4" s="1"/>
  <c r="AC97" i="4" s="1"/>
  <c r="AO97" i="4"/>
  <c r="H97" i="4" s="1"/>
  <c r="AK97" i="4"/>
  <c r="AJ97" i="4"/>
  <c r="AH97" i="4"/>
  <c r="AG97" i="4"/>
  <c r="AF97" i="4"/>
  <c r="AE97" i="4"/>
  <c r="AD97" i="4"/>
  <c r="Z97" i="4"/>
  <c r="J97" i="4"/>
  <c r="AL97" i="4" s="1"/>
  <c r="BJ96" i="4"/>
  <c r="BF96" i="4"/>
  <c r="BD96" i="4"/>
  <c r="AP96" i="4"/>
  <c r="I96" i="4" s="1"/>
  <c r="AO96" i="4"/>
  <c r="AK96" i="4"/>
  <c r="AJ96" i="4"/>
  <c r="AH96" i="4"/>
  <c r="AG96" i="4"/>
  <c r="AF96" i="4"/>
  <c r="AE96" i="4"/>
  <c r="AD96" i="4"/>
  <c r="Z96" i="4"/>
  <c r="J96" i="4"/>
  <c r="AL96" i="4" s="1"/>
  <c r="BJ95" i="4"/>
  <c r="BF95" i="4"/>
  <c r="BD95" i="4"/>
  <c r="AP95" i="4"/>
  <c r="AO95" i="4"/>
  <c r="AW95" i="4" s="1"/>
  <c r="AK95" i="4"/>
  <c r="AJ95" i="4"/>
  <c r="AH95" i="4"/>
  <c r="AG95" i="4"/>
  <c r="AF95" i="4"/>
  <c r="AE95" i="4"/>
  <c r="AD95" i="4"/>
  <c r="Z95" i="4"/>
  <c r="J95" i="4"/>
  <c r="AL95" i="4" s="1"/>
  <c r="BJ94" i="4"/>
  <c r="BF94" i="4"/>
  <c r="BD94" i="4"/>
  <c r="AP94" i="4"/>
  <c r="AO94" i="4"/>
  <c r="AL94" i="4"/>
  <c r="AK94" i="4"/>
  <c r="AT93" i="4" s="1"/>
  <c r="AJ94" i="4"/>
  <c r="AS93" i="4" s="1"/>
  <c r="AH94" i="4"/>
  <c r="AG94" i="4"/>
  <c r="AF94" i="4"/>
  <c r="AE94" i="4"/>
  <c r="AD94" i="4"/>
  <c r="Z94" i="4"/>
  <c r="J94" i="4"/>
  <c r="BJ92" i="4"/>
  <c r="BF92" i="4"/>
  <c r="BD92" i="4"/>
  <c r="AP92" i="4"/>
  <c r="AX92" i="4" s="1"/>
  <c r="BC92" i="4" s="1"/>
  <c r="AO92" i="4"/>
  <c r="AW92" i="4" s="1"/>
  <c r="AK92" i="4"/>
  <c r="AJ92" i="4"/>
  <c r="AH92" i="4"/>
  <c r="AG92" i="4"/>
  <c r="AF92" i="4"/>
  <c r="AE92" i="4"/>
  <c r="AD92" i="4"/>
  <c r="Z92" i="4"/>
  <c r="J92" i="4"/>
  <c r="AL92" i="4" s="1"/>
  <c r="H92" i="4"/>
  <c r="BJ91" i="4"/>
  <c r="BF91" i="4"/>
  <c r="BD91" i="4"/>
  <c r="AW91" i="4"/>
  <c r="AP91" i="4"/>
  <c r="BI91" i="4" s="1"/>
  <c r="AC91" i="4" s="1"/>
  <c r="AO91" i="4"/>
  <c r="BH91" i="4" s="1"/>
  <c r="AB91" i="4" s="1"/>
  <c r="AK91" i="4"/>
  <c r="AJ91" i="4"/>
  <c r="AH91" i="4"/>
  <c r="AG91" i="4"/>
  <c r="AF91" i="4"/>
  <c r="AE91" i="4"/>
  <c r="AD91" i="4"/>
  <c r="Z91" i="4"/>
  <c r="J91" i="4"/>
  <c r="AL91" i="4" s="1"/>
  <c r="BJ90" i="4"/>
  <c r="BF90" i="4"/>
  <c r="BD90" i="4"/>
  <c r="AW90" i="4"/>
  <c r="AP90" i="4"/>
  <c r="BI90" i="4" s="1"/>
  <c r="AC90" i="4" s="1"/>
  <c r="AO90" i="4"/>
  <c r="BH90" i="4" s="1"/>
  <c r="AB90" i="4" s="1"/>
  <c r="AK90" i="4"/>
  <c r="AJ90" i="4"/>
  <c r="AH90" i="4"/>
  <c r="AG90" i="4"/>
  <c r="AF90" i="4"/>
  <c r="AE90" i="4"/>
  <c r="AD90" i="4"/>
  <c r="Z90" i="4"/>
  <c r="J90" i="4"/>
  <c r="AL90" i="4" s="1"/>
  <c r="I90" i="4"/>
  <c r="H90" i="4"/>
  <c r="BJ89" i="4"/>
  <c r="BF89" i="4"/>
  <c r="BD89" i="4"/>
  <c r="AW89" i="4"/>
  <c r="AP89" i="4"/>
  <c r="AO89" i="4"/>
  <c r="BH89" i="4" s="1"/>
  <c r="AB89" i="4" s="1"/>
  <c r="AK89" i="4"/>
  <c r="AJ89" i="4"/>
  <c r="AH89" i="4"/>
  <c r="AG89" i="4"/>
  <c r="AF89" i="4"/>
  <c r="AE89" i="4"/>
  <c r="AD89" i="4"/>
  <c r="Z89" i="4"/>
  <c r="J89" i="4"/>
  <c r="AL89" i="4" s="1"/>
  <c r="H89" i="4"/>
  <c r="BJ88" i="4"/>
  <c r="BF88" i="4"/>
  <c r="BD88" i="4"/>
  <c r="AX88" i="4"/>
  <c r="AW88" i="4"/>
  <c r="BC88" i="4" s="1"/>
  <c r="AP88" i="4"/>
  <c r="BI88" i="4" s="1"/>
  <c r="AC88" i="4" s="1"/>
  <c r="AO88" i="4"/>
  <c r="BH88" i="4" s="1"/>
  <c r="AB88" i="4" s="1"/>
  <c r="AK88" i="4"/>
  <c r="AJ88" i="4"/>
  <c r="AH88" i="4"/>
  <c r="AG88" i="4"/>
  <c r="AF88" i="4"/>
  <c r="AE88" i="4"/>
  <c r="AD88" i="4"/>
  <c r="Z88" i="4"/>
  <c r="J88" i="4"/>
  <c r="AL88" i="4" s="1"/>
  <c r="I88" i="4"/>
  <c r="H88" i="4"/>
  <c r="BJ87" i="4"/>
  <c r="BF87" i="4"/>
  <c r="BD87" i="4"/>
  <c r="AX87" i="4"/>
  <c r="BC87" i="4" s="1"/>
  <c r="AW87" i="4"/>
  <c r="AP87" i="4"/>
  <c r="BI87" i="4" s="1"/>
  <c r="AC87" i="4" s="1"/>
  <c r="AO87" i="4"/>
  <c r="H87" i="4" s="1"/>
  <c r="AK87" i="4"/>
  <c r="AT86" i="4" s="1"/>
  <c r="AJ87" i="4"/>
  <c r="AH87" i="4"/>
  <c r="AG87" i="4"/>
  <c r="AF87" i="4"/>
  <c r="AE87" i="4"/>
  <c r="AD87" i="4"/>
  <c r="Z87" i="4"/>
  <c r="J87" i="4"/>
  <c r="AL87" i="4" s="1"/>
  <c r="I87" i="4"/>
  <c r="BJ85" i="4"/>
  <c r="BF85" i="4"/>
  <c r="BD85" i="4"/>
  <c r="AP85" i="4"/>
  <c r="BI85" i="4" s="1"/>
  <c r="AC85" i="4" s="1"/>
  <c r="AO85" i="4"/>
  <c r="AK85" i="4"/>
  <c r="AJ85" i="4"/>
  <c r="AH85" i="4"/>
  <c r="AG85" i="4"/>
  <c r="AF85" i="4"/>
  <c r="AE85" i="4"/>
  <c r="AD85" i="4"/>
  <c r="Z85" i="4"/>
  <c r="J85" i="4"/>
  <c r="AL85" i="4" s="1"/>
  <c r="BJ84" i="4"/>
  <c r="BF84" i="4"/>
  <c r="BD84" i="4"/>
  <c r="AW84" i="4"/>
  <c r="AP84" i="4"/>
  <c r="BI84" i="4" s="1"/>
  <c r="AC84" i="4" s="1"/>
  <c r="AO84" i="4"/>
  <c r="H84" i="4" s="1"/>
  <c r="AK84" i="4"/>
  <c r="AJ84" i="4"/>
  <c r="AH84" i="4"/>
  <c r="AG84" i="4"/>
  <c r="AF84" i="4"/>
  <c r="AE84" i="4"/>
  <c r="AD84" i="4"/>
  <c r="Z84" i="4"/>
  <c r="J84" i="4"/>
  <c r="AL84" i="4" s="1"/>
  <c r="BJ83" i="4"/>
  <c r="BF83" i="4"/>
  <c r="BD83" i="4"/>
  <c r="AP83" i="4"/>
  <c r="AO83" i="4"/>
  <c r="AW83" i="4" s="1"/>
  <c r="AL83" i="4"/>
  <c r="AK83" i="4"/>
  <c r="AJ83" i="4"/>
  <c r="AH83" i="4"/>
  <c r="AG83" i="4"/>
  <c r="AF83" i="4"/>
  <c r="AE83" i="4"/>
  <c r="AD83" i="4"/>
  <c r="Z83" i="4"/>
  <c r="J83" i="4"/>
  <c r="BJ82" i="4"/>
  <c r="BF82" i="4"/>
  <c r="BD82" i="4"/>
  <c r="AP82" i="4"/>
  <c r="AX82" i="4" s="1"/>
  <c r="AO82" i="4"/>
  <c r="AW82" i="4" s="1"/>
  <c r="AK82" i="4"/>
  <c r="AJ82" i="4"/>
  <c r="AH82" i="4"/>
  <c r="AG82" i="4"/>
  <c r="AF82" i="4"/>
  <c r="AE82" i="4"/>
  <c r="AD82" i="4"/>
  <c r="Z82" i="4"/>
  <c r="J82" i="4"/>
  <c r="AL82" i="4" s="1"/>
  <c r="BJ81" i="4"/>
  <c r="BF81" i="4"/>
  <c r="BD81" i="4"/>
  <c r="AP81" i="4"/>
  <c r="AX81" i="4" s="1"/>
  <c r="AO81" i="4"/>
  <c r="AW81" i="4" s="1"/>
  <c r="AL81" i="4"/>
  <c r="AK81" i="4"/>
  <c r="AT79" i="4" s="1"/>
  <c r="AJ81" i="4"/>
  <c r="AH81" i="4"/>
  <c r="AG81" i="4"/>
  <c r="AF81" i="4"/>
  <c r="AE81" i="4"/>
  <c r="AD81" i="4"/>
  <c r="Z81" i="4"/>
  <c r="J81" i="4"/>
  <c r="H81" i="4"/>
  <c r="BJ80" i="4"/>
  <c r="BF80" i="4"/>
  <c r="BD80" i="4"/>
  <c r="AW80" i="4"/>
  <c r="AP80" i="4"/>
  <c r="AX80" i="4" s="1"/>
  <c r="AV80" i="4" s="1"/>
  <c r="AO80" i="4"/>
  <c r="BH80" i="4" s="1"/>
  <c r="AB80" i="4" s="1"/>
  <c r="AK80" i="4"/>
  <c r="AJ80" i="4"/>
  <c r="AH80" i="4"/>
  <c r="AG80" i="4"/>
  <c r="AF80" i="4"/>
  <c r="AE80" i="4"/>
  <c r="AD80" i="4"/>
  <c r="Z80" i="4"/>
  <c r="J80" i="4"/>
  <c r="I80" i="4"/>
  <c r="H80" i="4"/>
  <c r="BJ78" i="4"/>
  <c r="BF78" i="4"/>
  <c r="BD78" i="4"/>
  <c r="AP78" i="4"/>
  <c r="AO78" i="4"/>
  <c r="AW78" i="4" s="1"/>
  <c r="AK78" i="4"/>
  <c r="AJ78" i="4"/>
  <c r="AH78" i="4"/>
  <c r="AG78" i="4"/>
  <c r="AF78" i="4"/>
  <c r="AE78" i="4"/>
  <c r="AD78" i="4"/>
  <c r="Z78" i="4"/>
  <c r="J78" i="4"/>
  <c r="AL78" i="4" s="1"/>
  <c r="H78" i="4"/>
  <c r="BJ77" i="4"/>
  <c r="BF77" i="4"/>
  <c r="BD77" i="4"/>
  <c r="AW77" i="4"/>
  <c r="AV77" i="4"/>
  <c r="AP77" i="4"/>
  <c r="AX77" i="4" s="1"/>
  <c r="AO77" i="4"/>
  <c r="BH77" i="4" s="1"/>
  <c r="AB77" i="4" s="1"/>
  <c r="AK77" i="4"/>
  <c r="AJ77" i="4"/>
  <c r="AH77" i="4"/>
  <c r="AG77" i="4"/>
  <c r="AF77" i="4"/>
  <c r="AE77" i="4"/>
  <c r="AD77" i="4"/>
  <c r="Z77" i="4"/>
  <c r="J77" i="4"/>
  <c r="AL77" i="4" s="1"/>
  <c r="I77" i="4"/>
  <c r="H77" i="4"/>
  <c r="BJ76" i="4"/>
  <c r="BF76" i="4"/>
  <c r="BD76" i="4"/>
  <c r="AX76" i="4"/>
  <c r="AW76" i="4"/>
  <c r="AP76" i="4"/>
  <c r="BI76" i="4" s="1"/>
  <c r="AC76" i="4" s="1"/>
  <c r="AO76" i="4"/>
  <c r="BH76" i="4" s="1"/>
  <c r="AB76" i="4" s="1"/>
  <c r="AK76" i="4"/>
  <c r="AJ76" i="4"/>
  <c r="AH76" i="4"/>
  <c r="AG76" i="4"/>
  <c r="AF76" i="4"/>
  <c r="AE76" i="4"/>
  <c r="AD76" i="4"/>
  <c r="Z76" i="4"/>
  <c r="J76" i="4"/>
  <c r="AL76" i="4" s="1"/>
  <c r="I76" i="4"/>
  <c r="BJ75" i="4"/>
  <c r="BF75" i="4"/>
  <c r="BD75" i="4"/>
  <c r="AX75" i="4"/>
  <c r="BC75" i="4" s="1"/>
  <c r="AW75" i="4"/>
  <c r="AP75" i="4"/>
  <c r="BI75" i="4" s="1"/>
  <c r="AC75" i="4" s="1"/>
  <c r="AO75" i="4"/>
  <c r="BH75" i="4" s="1"/>
  <c r="AB75" i="4" s="1"/>
  <c r="AK75" i="4"/>
  <c r="AJ75" i="4"/>
  <c r="AH75" i="4"/>
  <c r="AG75" i="4"/>
  <c r="AF75" i="4"/>
  <c r="AE75" i="4"/>
  <c r="AD75" i="4"/>
  <c r="Z75" i="4"/>
  <c r="J75" i="4"/>
  <c r="AL75" i="4" s="1"/>
  <c r="H75" i="4"/>
  <c r="BJ74" i="4"/>
  <c r="BF74" i="4"/>
  <c r="BD74" i="4"/>
  <c r="BC74" i="4"/>
  <c r="AX74" i="4"/>
  <c r="AV74" i="4" s="1"/>
  <c r="AW74" i="4"/>
  <c r="AP74" i="4"/>
  <c r="BI74" i="4" s="1"/>
  <c r="AC74" i="4" s="1"/>
  <c r="AO74" i="4"/>
  <c r="BH74" i="4" s="1"/>
  <c r="AB74" i="4" s="1"/>
  <c r="AK74" i="4"/>
  <c r="AJ74" i="4"/>
  <c r="AH74" i="4"/>
  <c r="AG74" i="4"/>
  <c r="AF74" i="4"/>
  <c r="AE74" i="4"/>
  <c r="AD74" i="4"/>
  <c r="Z74" i="4"/>
  <c r="J74" i="4"/>
  <c r="H74" i="4"/>
  <c r="BJ73" i="4"/>
  <c r="BF73" i="4"/>
  <c r="BD73" i="4"/>
  <c r="AX73" i="4"/>
  <c r="AP73" i="4"/>
  <c r="BI73" i="4" s="1"/>
  <c r="AC73" i="4" s="1"/>
  <c r="AO73" i="4"/>
  <c r="H73" i="4" s="1"/>
  <c r="AL73" i="4"/>
  <c r="AK73" i="4"/>
  <c r="AJ73" i="4"/>
  <c r="AH73" i="4"/>
  <c r="AG73" i="4"/>
  <c r="AF73" i="4"/>
  <c r="AE73" i="4"/>
  <c r="AD73" i="4"/>
  <c r="Z73" i="4"/>
  <c r="J73" i="4"/>
  <c r="I73" i="4"/>
  <c r="BJ72" i="4"/>
  <c r="BF72" i="4"/>
  <c r="BD72" i="4"/>
  <c r="AP72" i="4"/>
  <c r="I72" i="4" s="1"/>
  <c r="AO72" i="4"/>
  <c r="AW72" i="4" s="1"/>
  <c r="AL72" i="4"/>
  <c r="AK72" i="4"/>
  <c r="AJ72" i="4"/>
  <c r="AH72" i="4"/>
  <c r="AG72" i="4"/>
  <c r="AF72" i="4"/>
  <c r="AE72" i="4"/>
  <c r="AD72" i="4"/>
  <c r="Z72" i="4"/>
  <c r="J72" i="4"/>
  <c r="BJ71" i="4"/>
  <c r="BF71" i="4"/>
  <c r="BD71" i="4"/>
  <c r="AP71" i="4"/>
  <c r="AX71" i="4" s="1"/>
  <c r="AO71" i="4"/>
  <c r="BH71" i="4" s="1"/>
  <c r="AB71" i="4" s="1"/>
  <c r="AK71" i="4"/>
  <c r="AJ71" i="4"/>
  <c r="AH71" i="4"/>
  <c r="AG71" i="4"/>
  <c r="AF71" i="4"/>
  <c r="AE71" i="4"/>
  <c r="AD71" i="4"/>
  <c r="Z71" i="4"/>
  <c r="J71" i="4"/>
  <c r="AL71" i="4" s="1"/>
  <c r="BJ70" i="4"/>
  <c r="BF70" i="4"/>
  <c r="BD70" i="4"/>
  <c r="AP70" i="4"/>
  <c r="AO70" i="4"/>
  <c r="AW70" i="4" s="1"/>
  <c r="AL70" i="4"/>
  <c r="AK70" i="4"/>
  <c r="AJ70" i="4"/>
  <c r="AH70" i="4"/>
  <c r="AG70" i="4"/>
  <c r="AF70" i="4"/>
  <c r="AE70" i="4"/>
  <c r="AD70" i="4"/>
  <c r="Z70" i="4"/>
  <c r="J70" i="4"/>
  <c r="H70" i="4"/>
  <c r="BJ68" i="4"/>
  <c r="BF68" i="4"/>
  <c r="BD68" i="4"/>
  <c r="AP68" i="4"/>
  <c r="AX68" i="4" s="1"/>
  <c r="AO68" i="4"/>
  <c r="BH68" i="4" s="1"/>
  <c r="AB68" i="4" s="1"/>
  <c r="AK68" i="4"/>
  <c r="AJ68" i="4"/>
  <c r="AH68" i="4"/>
  <c r="AG68" i="4"/>
  <c r="AF68" i="4"/>
  <c r="AE68" i="4"/>
  <c r="AD68" i="4"/>
  <c r="Z68" i="4"/>
  <c r="J68" i="4"/>
  <c r="AL68" i="4" s="1"/>
  <c r="BJ67" i="4"/>
  <c r="BF67" i="4"/>
  <c r="BD67" i="4"/>
  <c r="AP67" i="4"/>
  <c r="AO67" i="4"/>
  <c r="AW67" i="4" s="1"/>
  <c r="AK67" i="4"/>
  <c r="AJ67" i="4"/>
  <c r="AH67" i="4"/>
  <c r="AG67" i="4"/>
  <c r="AF67" i="4"/>
  <c r="AE67" i="4"/>
  <c r="AD67" i="4"/>
  <c r="Z67" i="4"/>
  <c r="J67" i="4"/>
  <c r="AL67" i="4" s="1"/>
  <c r="BJ66" i="4"/>
  <c r="BF66" i="4"/>
  <c r="BD66" i="4"/>
  <c r="AP66" i="4"/>
  <c r="AX66" i="4" s="1"/>
  <c r="AO66" i="4"/>
  <c r="BH66" i="4" s="1"/>
  <c r="AB66" i="4" s="1"/>
  <c r="AL66" i="4"/>
  <c r="AK66" i="4"/>
  <c r="AJ66" i="4"/>
  <c r="AH66" i="4"/>
  <c r="AG66" i="4"/>
  <c r="AF66" i="4"/>
  <c r="AE66" i="4"/>
  <c r="AD66" i="4"/>
  <c r="Z66" i="4"/>
  <c r="J66" i="4"/>
  <c r="I66" i="4"/>
  <c r="BJ65" i="4"/>
  <c r="BF65" i="4"/>
  <c r="BD65" i="4"/>
  <c r="AW65" i="4"/>
  <c r="AP65" i="4"/>
  <c r="BI65" i="4" s="1"/>
  <c r="AC65" i="4" s="1"/>
  <c r="AO65" i="4"/>
  <c r="BH65" i="4" s="1"/>
  <c r="AB65" i="4" s="1"/>
  <c r="AK65" i="4"/>
  <c r="AJ65" i="4"/>
  <c r="AH65" i="4"/>
  <c r="AG65" i="4"/>
  <c r="AF65" i="4"/>
  <c r="AE65" i="4"/>
  <c r="AD65" i="4"/>
  <c r="Z65" i="4"/>
  <c r="J65" i="4"/>
  <c r="AL65" i="4" s="1"/>
  <c r="H65" i="4"/>
  <c r="BJ64" i="4"/>
  <c r="BF64" i="4"/>
  <c r="BD64" i="4"/>
  <c r="AP64" i="4"/>
  <c r="BI64" i="4" s="1"/>
  <c r="AC64" i="4" s="1"/>
  <c r="AO64" i="4"/>
  <c r="BH64" i="4" s="1"/>
  <c r="AB64" i="4" s="1"/>
  <c r="AK64" i="4"/>
  <c r="AJ64" i="4"/>
  <c r="AH64" i="4"/>
  <c r="AG64" i="4"/>
  <c r="AF64" i="4"/>
  <c r="AE64" i="4"/>
  <c r="AD64" i="4"/>
  <c r="Z64" i="4"/>
  <c r="J64" i="4"/>
  <c r="H64" i="4"/>
  <c r="BJ62" i="4"/>
  <c r="BF62" i="4"/>
  <c r="BD62" i="4"/>
  <c r="AW62" i="4"/>
  <c r="AP62" i="4"/>
  <c r="BI62" i="4" s="1"/>
  <c r="AC62" i="4" s="1"/>
  <c r="AO62" i="4"/>
  <c r="BH62" i="4" s="1"/>
  <c r="AB62" i="4" s="1"/>
  <c r="AK62" i="4"/>
  <c r="AJ62" i="4"/>
  <c r="AH62" i="4"/>
  <c r="AG62" i="4"/>
  <c r="AF62" i="4"/>
  <c r="AE62" i="4"/>
  <c r="AD62" i="4"/>
  <c r="Z62" i="4"/>
  <c r="J62" i="4"/>
  <c r="AL62" i="4" s="1"/>
  <c r="H62" i="4"/>
  <c r="BJ61" i="4"/>
  <c r="BF61" i="4"/>
  <c r="BD61" i="4"/>
  <c r="AP61" i="4"/>
  <c r="BI61" i="4" s="1"/>
  <c r="AC61" i="4" s="1"/>
  <c r="AO61" i="4"/>
  <c r="BH61" i="4" s="1"/>
  <c r="AB61" i="4" s="1"/>
  <c r="AK61" i="4"/>
  <c r="AJ61" i="4"/>
  <c r="AH61" i="4"/>
  <c r="AG61" i="4"/>
  <c r="AF61" i="4"/>
  <c r="AE61" i="4"/>
  <c r="AD61" i="4"/>
  <c r="Z61" i="4"/>
  <c r="J61" i="4"/>
  <c r="AL61" i="4" s="1"/>
  <c r="H61" i="4"/>
  <c r="BJ60" i="4"/>
  <c r="BF60" i="4"/>
  <c r="BD60" i="4"/>
  <c r="AX60" i="4"/>
  <c r="AW60" i="4"/>
  <c r="BC60" i="4" s="1"/>
  <c r="AP60" i="4"/>
  <c r="BI60" i="4" s="1"/>
  <c r="AC60" i="4" s="1"/>
  <c r="AO60" i="4"/>
  <c r="BH60" i="4" s="1"/>
  <c r="AB60" i="4" s="1"/>
  <c r="AK60" i="4"/>
  <c r="AJ60" i="4"/>
  <c r="AH60" i="4"/>
  <c r="AG60" i="4"/>
  <c r="AF60" i="4"/>
  <c r="AE60" i="4"/>
  <c r="AD60" i="4"/>
  <c r="Z60" i="4"/>
  <c r="J60" i="4"/>
  <c r="AL60" i="4" s="1"/>
  <c r="I60" i="4"/>
  <c r="BJ59" i="4"/>
  <c r="BF59" i="4"/>
  <c r="BD59" i="4"/>
  <c r="AX59" i="4"/>
  <c r="AW59" i="4"/>
  <c r="AP59" i="4"/>
  <c r="BI59" i="4" s="1"/>
  <c r="AC59" i="4" s="1"/>
  <c r="AO59" i="4"/>
  <c r="H59" i="4" s="1"/>
  <c r="AK59" i="4"/>
  <c r="AJ59" i="4"/>
  <c r="AH59" i="4"/>
  <c r="AG59" i="4"/>
  <c r="AF59" i="4"/>
  <c r="AE59" i="4"/>
  <c r="AD59" i="4"/>
  <c r="Z59" i="4"/>
  <c r="J59" i="4"/>
  <c r="AL59" i="4" s="1"/>
  <c r="I59" i="4"/>
  <c r="BJ58" i="4"/>
  <c r="BF58" i="4"/>
  <c r="BD58" i="4"/>
  <c r="AX58" i="4"/>
  <c r="AP58" i="4"/>
  <c r="I58" i="4" s="1"/>
  <c r="AO58" i="4"/>
  <c r="AW58" i="4" s="1"/>
  <c r="AK58" i="4"/>
  <c r="AJ58" i="4"/>
  <c r="AH58" i="4"/>
  <c r="AG58" i="4"/>
  <c r="AF58" i="4"/>
  <c r="AE58" i="4"/>
  <c r="AD58" i="4"/>
  <c r="Z58" i="4"/>
  <c r="J58" i="4"/>
  <c r="AL58" i="4" s="1"/>
  <c r="BJ57" i="4"/>
  <c r="BF57" i="4"/>
  <c r="BD57" i="4"/>
  <c r="AP57" i="4"/>
  <c r="AX57" i="4" s="1"/>
  <c r="AO57" i="4"/>
  <c r="BH57" i="4" s="1"/>
  <c r="AB57" i="4" s="1"/>
  <c r="AL57" i="4"/>
  <c r="AK57" i="4"/>
  <c r="AJ57" i="4"/>
  <c r="AH57" i="4"/>
  <c r="AG57" i="4"/>
  <c r="AF57" i="4"/>
  <c r="AE57" i="4"/>
  <c r="AD57" i="4"/>
  <c r="Z57" i="4"/>
  <c r="J57" i="4"/>
  <c r="BJ56" i="4"/>
  <c r="BF56" i="4"/>
  <c r="BD56" i="4"/>
  <c r="AP56" i="4"/>
  <c r="AO56" i="4"/>
  <c r="AW56" i="4" s="1"/>
  <c r="AK56" i="4"/>
  <c r="AJ56" i="4"/>
  <c r="AH56" i="4"/>
  <c r="AG56" i="4"/>
  <c r="AF56" i="4"/>
  <c r="AE56" i="4"/>
  <c r="AD56" i="4"/>
  <c r="Z56" i="4"/>
  <c r="J56" i="4"/>
  <c r="AL56" i="4" s="1"/>
  <c r="BJ55" i="4"/>
  <c r="BF55" i="4"/>
  <c r="BD55" i="4"/>
  <c r="AW55" i="4"/>
  <c r="AP55" i="4"/>
  <c r="AX55" i="4" s="1"/>
  <c r="AO55" i="4"/>
  <c r="BH55" i="4" s="1"/>
  <c r="AB55" i="4" s="1"/>
  <c r="AK55" i="4"/>
  <c r="AJ55" i="4"/>
  <c r="AH55" i="4"/>
  <c r="AG55" i="4"/>
  <c r="AF55" i="4"/>
  <c r="AE55" i="4"/>
  <c r="AD55" i="4"/>
  <c r="Z55" i="4"/>
  <c r="J55" i="4"/>
  <c r="AL55" i="4" s="1"/>
  <c r="I55" i="4"/>
  <c r="H55" i="4"/>
  <c r="BJ54" i="4"/>
  <c r="BF54" i="4"/>
  <c r="BD54" i="4"/>
  <c r="AX54" i="4"/>
  <c r="AW54" i="4"/>
  <c r="AP54" i="4"/>
  <c r="BI54" i="4" s="1"/>
  <c r="AC54" i="4" s="1"/>
  <c r="AO54" i="4"/>
  <c r="BH54" i="4" s="1"/>
  <c r="AB54" i="4" s="1"/>
  <c r="AK54" i="4"/>
  <c r="AJ54" i="4"/>
  <c r="AH54" i="4"/>
  <c r="AG54" i="4"/>
  <c r="AF54" i="4"/>
  <c r="AE54" i="4"/>
  <c r="AD54" i="4"/>
  <c r="Z54" i="4"/>
  <c r="J54" i="4"/>
  <c r="AL54" i="4" s="1"/>
  <c r="I54" i="4"/>
  <c r="BJ53" i="4"/>
  <c r="BF53" i="4"/>
  <c r="BD53" i="4"/>
  <c r="AX53" i="4"/>
  <c r="BC53" i="4" s="1"/>
  <c r="AW53" i="4"/>
  <c r="AP53" i="4"/>
  <c r="BI53" i="4" s="1"/>
  <c r="AC53" i="4" s="1"/>
  <c r="AO53" i="4"/>
  <c r="BH53" i="4" s="1"/>
  <c r="AB53" i="4" s="1"/>
  <c r="AK53" i="4"/>
  <c r="AJ53" i="4"/>
  <c r="AH53" i="4"/>
  <c r="AG53" i="4"/>
  <c r="AF53" i="4"/>
  <c r="AE53" i="4"/>
  <c r="AD53" i="4"/>
  <c r="Z53" i="4"/>
  <c r="J53" i="4"/>
  <c r="AL53" i="4" s="1"/>
  <c r="H53" i="4"/>
  <c r="BJ52" i="4"/>
  <c r="BF52" i="4"/>
  <c r="BD52" i="4"/>
  <c r="BC52" i="4"/>
  <c r="AX52" i="4"/>
  <c r="AV52" i="4" s="1"/>
  <c r="AW52" i="4"/>
  <c r="AP52" i="4"/>
  <c r="BI52" i="4" s="1"/>
  <c r="AC52" i="4" s="1"/>
  <c r="AO52" i="4"/>
  <c r="BH52" i="4" s="1"/>
  <c r="AB52" i="4" s="1"/>
  <c r="AK52" i="4"/>
  <c r="AJ52" i="4"/>
  <c r="AS50" i="4" s="1"/>
  <c r="AH52" i="4"/>
  <c r="AG52" i="4"/>
  <c r="AF52" i="4"/>
  <c r="AE52" i="4"/>
  <c r="AD52" i="4"/>
  <c r="Z52" i="4"/>
  <c r="J52" i="4"/>
  <c r="AL52" i="4" s="1"/>
  <c r="H52" i="4"/>
  <c r="BJ51" i="4"/>
  <c r="BF51" i="4"/>
  <c r="BD51" i="4"/>
  <c r="AX51" i="4"/>
  <c r="AP51" i="4"/>
  <c r="BI51" i="4" s="1"/>
  <c r="AC51" i="4" s="1"/>
  <c r="AO51" i="4"/>
  <c r="H51" i="4" s="1"/>
  <c r="AL51" i="4"/>
  <c r="AK51" i="4"/>
  <c r="AT50" i="4" s="1"/>
  <c r="AJ51" i="4"/>
  <c r="AH51" i="4"/>
  <c r="AG51" i="4"/>
  <c r="AF51" i="4"/>
  <c r="AE51" i="4"/>
  <c r="AD51" i="4"/>
  <c r="Z51" i="4"/>
  <c r="J51" i="4"/>
  <c r="I51" i="4"/>
  <c r="BJ49" i="4"/>
  <c r="BF49" i="4"/>
  <c r="BD49" i="4"/>
  <c r="AW49" i="4"/>
  <c r="AP49" i="4"/>
  <c r="BI49" i="4" s="1"/>
  <c r="AC49" i="4" s="1"/>
  <c r="AO49" i="4"/>
  <c r="BH49" i="4" s="1"/>
  <c r="AB49" i="4" s="1"/>
  <c r="AK49" i="4"/>
  <c r="AT48" i="4" s="1"/>
  <c r="AJ49" i="4"/>
  <c r="AS48" i="4" s="1"/>
  <c r="AH49" i="4"/>
  <c r="AG49" i="4"/>
  <c r="AF49" i="4"/>
  <c r="AE49" i="4"/>
  <c r="AD49" i="4"/>
  <c r="Z49" i="4"/>
  <c r="J49" i="4"/>
  <c r="AL49" i="4" s="1"/>
  <c r="AU48" i="4" s="1"/>
  <c r="H49" i="4"/>
  <c r="H48" i="4" s="1"/>
  <c r="J21" i="3" s="1"/>
  <c r="BJ47" i="4"/>
  <c r="BF47" i="4"/>
  <c r="BD47" i="4"/>
  <c r="AX47" i="4"/>
  <c r="BC47" i="4" s="1"/>
  <c r="AW47" i="4"/>
  <c r="AP47" i="4"/>
  <c r="BI47" i="4" s="1"/>
  <c r="AC47" i="4" s="1"/>
  <c r="AO47" i="4"/>
  <c r="BH47" i="4" s="1"/>
  <c r="AB47" i="4" s="1"/>
  <c r="AK47" i="4"/>
  <c r="AJ47" i="4"/>
  <c r="AH47" i="4"/>
  <c r="AG47" i="4"/>
  <c r="AF47" i="4"/>
  <c r="AE47" i="4"/>
  <c r="AD47" i="4"/>
  <c r="Z47" i="4"/>
  <c r="J47" i="4"/>
  <c r="AL47" i="4" s="1"/>
  <c r="H47" i="4"/>
  <c r="BJ46" i="4"/>
  <c r="BF46" i="4"/>
  <c r="BD46" i="4"/>
  <c r="AX46" i="4"/>
  <c r="AP46" i="4"/>
  <c r="BI46" i="4" s="1"/>
  <c r="AC46" i="4" s="1"/>
  <c r="AO46" i="4"/>
  <c r="BH46" i="4" s="1"/>
  <c r="AB46" i="4" s="1"/>
  <c r="AK46" i="4"/>
  <c r="AJ46" i="4"/>
  <c r="AH46" i="4"/>
  <c r="AG46" i="4"/>
  <c r="AF46" i="4"/>
  <c r="AE46" i="4"/>
  <c r="AD46" i="4"/>
  <c r="Z46" i="4"/>
  <c r="J46" i="4"/>
  <c r="AL46" i="4" s="1"/>
  <c r="I46" i="4"/>
  <c r="BJ45" i="4"/>
  <c r="BF45" i="4"/>
  <c r="BD45" i="4"/>
  <c r="AX45" i="4"/>
  <c r="AP45" i="4"/>
  <c r="BI45" i="4" s="1"/>
  <c r="AC45" i="4" s="1"/>
  <c r="AO45" i="4"/>
  <c r="H45" i="4" s="1"/>
  <c r="AK45" i="4"/>
  <c r="AJ45" i="4"/>
  <c r="AH45" i="4"/>
  <c r="AG45" i="4"/>
  <c r="AF45" i="4"/>
  <c r="AE45" i="4"/>
  <c r="AD45" i="4"/>
  <c r="Z45" i="4"/>
  <c r="J45" i="4"/>
  <c r="AL45" i="4" s="1"/>
  <c r="I45" i="4"/>
  <c r="BJ44" i="4"/>
  <c r="BF44" i="4"/>
  <c r="BD44" i="4"/>
  <c r="AX44" i="4"/>
  <c r="AP44" i="4"/>
  <c r="I44" i="4" s="1"/>
  <c r="AO44" i="4"/>
  <c r="AW44" i="4" s="1"/>
  <c r="AL44" i="4"/>
  <c r="AK44" i="4"/>
  <c r="AJ44" i="4"/>
  <c r="AH44" i="4"/>
  <c r="AG44" i="4"/>
  <c r="AF44" i="4"/>
  <c r="AE44" i="4"/>
  <c r="AD44" i="4"/>
  <c r="Z44" i="4"/>
  <c r="J44" i="4"/>
  <c r="BJ43" i="4"/>
  <c r="BF43" i="4"/>
  <c r="BD43" i="4"/>
  <c r="AP43" i="4"/>
  <c r="AX43" i="4" s="1"/>
  <c r="AO43" i="4"/>
  <c r="BH43" i="4" s="1"/>
  <c r="AB43" i="4" s="1"/>
  <c r="AK43" i="4"/>
  <c r="AJ43" i="4"/>
  <c r="AH43" i="4"/>
  <c r="AG43" i="4"/>
  <c r="AF43" i="4"/>
  <c r="AE43" i="4"/>
  <c r="AD43" i="4"/>
  <c r="Z43" i="4"/>
  <c r="J43" i="4"/>
  <c r="AL43" i="4" s="1"/>
  <c r="BJ42" i="4"/>
  <c r="BF42" i="4"/>
  <c r="BD42" i="4"/>
  <c r="AP42" i="4"/>
  <c r="BI42" i="4" s="1"/>
  <c r="AC42" i="4" s="1"/>
  <c r="AO42" i="4"/>
  <c r="AW42" i="4" s="1"/>
  <c r="AK42" i="4"/>
  <c r="AJ42" i="4"/>
  <c r="AH42" i="4"/>
  <c r="AG42" i="4"/>
  <c r="AF42" i="4"/>
  <c r="AE42" i="4"/>
  <c r="AD42" i="4"/>
  <c r="Z42" i="4"/>
  <c r="J42" i="4"/>
  <c r="AL42" i="4" s="1"/>
  <c r="H42" i="4"/>
  <c r="BJ41" i="4"/>
  <c r="BF41" i="4"/>
  <c r="BD41" i="4"/>
  <c r="AP41" i="4"/>
  <c r="AX41" i="4" s="1"/>
  <c r="AO41" i="4"/>
  <c r="BH41" i="4" s="1"/>
  <c r="AB41" i="4" s="1"/>
  <c r="AL41" i="4"/>
  <c r="AK41" i="4"/>
  <c r="AJ41" i="4"/>
  <c r="AH41" i="4"/>
  <c r="AG41" i="4"/>
  <c r="AF41" i="4"/>
  <c r="AE41" i="4"/>
  <c r="AD41" i="4"/>
  <c r="Z41" i="4"/>
  <c r="J41" i="4"/>
  <c r="H41" i="4"/>
  <c r="BJ40" i="4"/>
  <c r="BF40" i="4"/>
  <c r="BD40" i="4"/>
  <c r="AW40" i="4"/>
  <c r="AP40" i="4"/>
  <c r="BI40" i="4" s="1"/>
  <c r="AC40" i="4" s="1"/>
  <c r="AO40" i="4"/>
  <c r="BH40" i="4" s="1"/>
  <c r="AB40" i="4" s="1"/>
  <c r="AK40" i="4"/>
  <c r="AJ40" i="4"/>
  <c r="AH40" i="4"/>
  <c r="AG40" i="4"/>
  <c r="AF40" i="4"/>
  <c r="AE40" i="4"/>
  <c r="AD40" i="4"/>
  <c r="Z40" i="4"/>
  <c r="J40" i="4"/>
  <c r="AL40" i="4" s="1"/>
  <c r="H40" i="4"/>
  <c r="BJ39" i="4"/>
  <c r="BF39" i="4"/>
  <c r="BD39" i="4"/>
  <c r="AP39" i="4"/>
  <c r="BI39" i="4" s="1"/>
  <c r="AC39" i="4" s="1"/>
  <c r="AO39" i="4"/>
  <c r="BH39" i="4" s="1"/>
  <c r="AB39" i="4" s="1"/>
  <c r="AK39" i="4"/>
  <c r="AJ39" i="4"/>
  <c r="AH39" i="4"/>
  <c r="AG39" i="4"/>
  <c r="AF39" i="4"/>
  <c r="AE39" i="4"/>
  <c r="AD39" i="4"/>
  <c r="Z39" i="4"/>
  <c r="J39" i="4"/>
  <c r="BJ37" i="4"/>
  <c r="BF37" i="4"/>
  <c r="BD37" i="4"/>
  <c r="AW37" i="4"/>
  <c r="AP37" i="4"/>
  <c r="BI37" i="4" s="1"/>
  <c r="AC37" i="4" s="1"/>
  <c r="AO37" i="4"/>
  <c r="BH37" i="4" s="1"/>
  <c r="AB37" i="4" s="1"/>
  <c r="AK37" i="4"/>
  <c r="AT36" i="4" s="1"/>
  <c r="AJ37" i="4"/>
  <c r="AS36" i="4" s="1"/>
  <c r="AH37" i="4"/>
  <c r="AG37" i="4"/>
  <c r="AF37" i="4"/>
  <c r="AE37" i="4"/>
  <c r="AD37" i="4"/>
  <c r="Z37" i="4"/>
  <c r="J37" i="4"/>
  <c r="AL37" i="4" s="1"/>
  <c r="AU36" i="4" s="1"/>
  <c r="H37" i="4"/>
  <c r="H36" i="4" s="1"/>
  <c r="J19" i="3" s="1"/>
  <c r="BJ35" i="4"/>
  <c r="BF35" i="4"/>
  <c r="BD35" i="4"/>
  <c r="AW35" i="4"/>
  <c r="BC35" i="4" s="1"/>
  <c r="AV35" i="4"/>
  <c r="AP35" i="4"/>
  <c r="AX35" i="4" s="1"/>
  <c r="AO35" i="4"/>
  <c r="BH35" i="4" s="1"/>
  <c r="AB35" i="4" s="1"/>
  <c r="AK35" i="4"/>
  <c r="AJ35" i="4"/>
  <c r="AH35" i="4"/>
  <c r="AG35" i="4"/>
  <c r="AF35" i="4"/>
  <c r="AE35" i="4"/>
  <c r="AD35" i="4"/>
  <c r="Z35" i="4"/>
  <c r="J35" i="4"/>
  <c r="J34" i="4" s="1"/>
  <c r="L18" i="3" s="1"/>
  <c r="N18" i="3" s="1"/>
  <c r="I35" i="4"/>
  <c r="I34" i="4" s="1"/>
  <c r="K18" i="3" s="1"/>
  <c r="H35" i="4"/>
  <c r="H34" i="4" s="1"/>
  <c r="J18" i="3" s="1"/>
  <c r="AT34" i="4"/>
  <c r="AS34" i="4"/>
  <c r="BJ33" i="4"/>
  <c r="BF33" i="4"/>
  <c r="BD33" i="4"/>
  <c r="AP33" i="4"/>
  <c r="AO33" i="4"/>
  <c r="AW33" i="4" s="1"/>
  <c r="AL33" i="4"/>
  <c r="AU32" i="4" s="1"/>
  <c r="AK33" i="4"/>
  <c r="AT32" i="4" s="1"/>
  <c r="AJ33" i="4"/>
  <c r="AH33" i="4"/>
  <c r="AG33" i="4"/>
  <c r="AF33" i="4"/>
  <c r="AE33" i="4"/>
  <c r="AD33" i="4"/>
  <c r="Z33" i="4"/>
  <c r="J33" i="4"/>
  <c r="AS32" i="4"/>
  <c r="J32" i="4"/>
  <c r="BJ31" i="4"/>
  <c r="BF31" i="4"/>
  <c r="BD31" i="4"/>
  <c r="AP31" i="4"/>
  <c r="AX31" i="4" s="1"/>
  <c r="AO31" i="4"/>
  <c r="BH31" i="4" s="1"/>
  <c r="AB31" i="4" s="1"/>
  <c r="AK31" i="4"/>
  <c r="AJ31" i="4"/>
  <c r="AH31" i="4"/>
  <c r="AG31" i="4"/>
  <c r="AF31" i="4"/>
  <c r="AE31" i="4"/>
  <c r="AD31" i="4"/>
  <c r="Z31" i="4"/>
  <c r="J31" i="4"/>
  <c r="J29" i="4" s="1"/>
  <c r="L16" i="3" s="1"/>
  <c r="N16" i="3" s="1"/>
  <c r="BJ30" i="4"/>
  <c r="BF30" i="4"/>
  <c r="BD30" i="4"/>
  <c r="AP30" i="4"/>
  <c r="BI30" i="4" s="1"/>
  <c r="AC30" i="4" s="1"/>
  <c r="AO30" i="4"/>
  <c r="AW30" i="4" s="1"/>
  <c r="AL30" i="4"/>
  <c r="AK30" i="4"/>
  <c r="AJ30" i="4"/>
  <c r="AS29" i="4" s="1"/>
  <c r="AH30" i="4"/>
  <c r="AG30" i="4"/>
  <c r="AF30" i="4"/>
  <c r="AE30" i="4"/>
  <c r="AD30" i="4"/>
  <c r="Z30" i="4"/>
  <c r="J30" i="4"/>
  <c r="AT29" i="4"/>
  <c r="BJ28" i="4"/>
  <c r="BH28" i="4"/>
  <c r="AB28" i="4" s="1"/>
  <c r="BF28" i="4"/>
  <c r="BD28" i="4"/>
  <c r="AP28" i="4"/>
  <c r="AX28" i="4" s="1"/>
  <c r="AO28" i="4"/>
  <c r="AK28" i="4"/>
  <c r="AJ28" i="4"/>
  <c r="AH28" i="4"/>
  <c r="AG28" i="4"/>
  <c r="AF28" i="4"/>
  <c r="AE28" i="4"/>
  <c r="AD28" i="4"/>
  <c r="Z28" i="4"/>
  <c r="J28" i="4"/>
  <c r="AL28" i="4" s="1"/>
  <c r="BJ27" i="4"/>
  <c r="BF27" i="4"/>
  <c r="BD27" i="4"/>
  <c r="AP27" i="4"/>
  <c r="BI27" i="4" s="1"/>
  <c r="AC27" i="4" s="1"/>
  <c r="AO27" i="4"/>
  <c r="AW27" i="4" s="1"/>
  <c r="AK27" i="4"/>
  <c r="AJ27" i="4"/>
  <c r="AH27" i="4"/>
  <c r="AG27" i="4"/>
  <c r="AF27" i="4"/>
  <c r="AE27" i="4"/>
  <c r="AD27" i="4"/>
  <c r="Z27" i="4"/>
  <c r="J27" i="4"/>
  <c r="AL27" i="4" s="1"/>
  <c r="BJ26" i="4"/>
  <c r="BF26" i="4"/>
  <c r="BD26" i="4"/>
  <c r="AP26" i="4"/>
  <c r="AX26" i="4" s="1"/>
  <c r="AO26" i="4"/>
  <c r="BH26" i="4" s="1"/>
  <c r="AB26" i="4" s="1"/>
  <c r="AK26" i="4"/>
  <c r="AJ26" i="4"/>
  <c r="AH26" i="4"/>
  <c r="AG26" i="4"/>
  <c r="AF26" i="4"/>
  <c r="AE26" i="4"/>
  <c r="AD26" i="4"/>
  <c r="Z26" i="4"/>
  <c r="J26" i="4"/>
  <c r="AL26" i="4" s="1"/>
  <c r="I26" i="4"/>
  <c r="H26" i="4"/>
  <c r="BJ25" i="4"/>
  <c r="BF25" i="4"/>
  <c r="BD25" i="4"/>
  <c r="AP25" i="4"/>
  <c r="BI25" i="4" s="1"/>
  <c r="AC25" i="4" s="1"/>
  <c r="AO25" i="4"/>
  <c r="BH25" i="4" s="1"/>
  <c r="AB25" i="4" s="1"/>
  <c r="AK25" i="4"/>
  <c r="AJ25" i="4"/>
  <c r="AH25" i="4"/>
  <c r="AG25" i="4"/>
  <c r="AF25" i="4"/>
  <c r="AE25" i="4"/>
  <c r="AD25" i="4"/>
  <c r="Z25" i="4"/>
  <c r="J25" i="4"/>
  <c r="AL25" i="4" s="1"/>
  <c r="AT24" i="4"/>
  <c r="BJ23" i="4"/>
  <c r="BF23" i="4"/>
  <c r="BD23" i="4"/>
  <c r="AW23" i="4"/>
  <c r="AP23" i="4"/>
  <c r="AX23" i="4" s="1"/>
  <c r="AV23" i="4" s="1"/>
  <c r="AO23" i="4"/>
  <c r="BH23" i="4" s="1"/>
  <c r="AB23" i="4" s="1"/>
  <c r="AK23" i="4"/>
  <c r="AJ23" i="4"/>
  <c r="AH23" i="4"/>
  <c r="AG23" i="4"/>
  <c r="AF23" i="4"/>
  <c r="AE23" i="4"/>
  <c r="AD23" i="4"/>
  <c r="Z23" i="4"/>
  <c r="J23" i="4"/>
  <c r="AL23" i="4" s="1"/>
  <c r="I23" i="4"/>
  <c r="H23" i="4"/>
  <c r="BJ22" i="4"/>
  <c r="BF22" i="4"/>
  <c r="BD22" i="4"/>
  <c r="AW22" i="4"/>
  <c r="AP22" i="4"/>
  <c r="BI22" i="4" s="1"/>
  <c r="AC22" i="4" s="1"/>
  <c r="AO22" i="4"/>
  <c r="BH22" i="4" s="1"/>
  <c r="AB22" i="4" s="1"/>
  <c r="AK22" i="4"/>
  <c r="AT21" i="4" s="1"/>
  <c r="AJ22" i="4"/>
  <c r="AS21" i="4" s="1"/>
  <c r="AH22" i="4"/>
  <c r="AG22" i="4"/>
  <c r="AF22" i="4"/>
  <c r="AE22" i="4"/>
  <c r="AD22" i="4"/>
  <c r="Z22" i="4"/>
  <c r="J22" i="4"/>
  <c r="AL22" i="4" s="1"/>
  <c r="H22" i="4"/>
  <c r="BJ20" i="4"/>
  <c r="BF20" i="4"/>
  <c r="BD20" i="4"/>
  <c r="AW20" i="4"/>
  <c r="AV20" i="4" s="1"/>
  <c r="AP20" i="4"/>
  <c r="AX20" i="4" s="1"/>
  <c r="AO20" i="4"/>
  <c r="BH20" i="4" s="1"/>
  <c r="AB20" i="4" s="1"/>
  <c r="AK20" i="4"/>
  <c r="AJ20" i="4"/>
  <c r="AH20" i="4"/>
  <c r="AG20" i="4"/>
  <c r="AF20" i="4"/>
  <c r="AE20" i="4"/>
  <c r="AD20" i="4"/>
  <c r="Z20" i="4"/>
  <c r="J20" i="4"/>
  <c r="AL20" i="4" s="1"/>
  <c r="I20" i="4"/>
  <c r="H20" i="4"/>
  <c r="BJ19" i="4"/>
  <c r="BF19" i="4"/>
  <c r="BD19" i="4"/>
  <c r="AX19" i="4"/>
  <c r="AW19" i="4"/>
  <c r="AP19" i="4"/>
  <c r="BI19" i="4" s="1"/>
  <c r="AC19" i="4" s="1"/>
  <c r="AO19" i="4"/>
  <c r="BH19" i="4" s="1"/>
  <c r="AB19" i="4" s="1"/>
  <c r="AK19" i="4"/>
  <c r="AJ19" i="4"/>
  <c r="AH19" i="4"/>
  <c r="AG19" i="4"/>
  <c r="AF19" i="4"/>
  <c r="AE19" i="4"/>
  <c r="AD19" i="4"/>
  <c r="Z19" i="4"/>
  <c r="J19" i="4"/>
  <c r="AL19" i="4" s="1"/>
  <c r="H19" i="4"/>
  <c r="BJ18" i="4"/>
  <c r="BF18" i="4"/>
  <c r="BD18" i="4"/>
  <c r="AX18" i="4"/>
  <c r="AW18" i="4"/>
  <c r="AV18" i="4" s="1"/>
  <c r="AP18" i="4"/>
  <c r="BI18" i="4" s="1"/>
  <c r="AC18" i="4" s="1"/>
  <c r="AO18" i="4"/>
  <c r="BH18" i="4" s="1"/>
  <c r="AB18" i="4" s="1"/>
  <c r="AK18" i="4"/>
  <c r="AJ18" i="4"/>
  <c r="AH18" i="4"/>
  <c r="AG18" i="4"/>
  <c r="AF18" i="4"/>
  <c r="AE18" i="4"/>
  <c r="AD18" i="4"/>
  <c r="Z18" i="4"/>
  <c r="J18" i="4"/>
  <c r="AL18" i="4" s="1"/>
  <c r="I18" i="4"/>
  <c r="H18" i="4"/>
  <c r="BJ17" i="4"/>
  <c r="BF17" i="4"/>
  <c r="BD17" i="4"/>
  <c r="BC17" i="4"/>
  <c r="AX17" i="4"/>
  <c r="AW17" i="4"/>
  <c r="AP17" i="4"/>
  <c r="BI17" i="4" s="1"/>
  <c r="AC17" i="4" s="1"/>
  <c r="AO17" i="4"/>
  <c r="BH17" i="4" s="1"/>
  <c r="AB17" i="4" s="1"/>
  <c r="AK17" i="4"/>
  <c r="AJ17" i="4"/>
  <c r="AH17" i="4"/>
  <c r="AG17" i="4"/>
  <c r="AF17" i="4"/>
  <c r="AE17" i="4"/>
  <c r="AD17" i="4"/>
  <c r="Z17" i="4"/>
  <c r="J17" i="4"/>
  <c r="I17" i="4"/>
  <c r="BJ16" i="4"/>
  <c r="BF16" i="4"/>
  <c r="BD16" i="4"/>
  <c r="AP16" i="4"/>
  <c r="BI16" i="4" s="1"/>
  <c r="AC16" i="4" s="1"/>
  <c r="AO16" i="4"/>
  <c r="H16" i="4" s="1"/>
  <c r="AL16" i="4"/>
  <c r="AK16" i="4"/>
  <c r="AT13" i="4" s="1"/>
  <c r="AJ16" i="4"/>
  <c r="AH16" i="4"/>
  <c r="AG16" i="4"/>
  <c r="AF16" i="4"/>
  <c r="AE16" i="4"/>
  <c r="AD16" i="4"/>
  <c r="Z16" i="4"/>
  <c r="J16" i="4"/>
  <c r="BJ15" i="4"/>
  <c r="BF15" i="4"/>
  <c r="BD15" i="4"/>
  <c r="AX15" i="4"/>
  <c r="AP15" i="4"/>
  <c r="I15" i="4" s="1"/>
  <c r="AO15" i="4"/>
  <c r="AW15" i="4" s="1"/>
  <c r="AL15" i="4"/>
  <c r="AK15" i="4"/>
  <c r="AJ15" i="4"/>
  <c r="AH15" i="4"/>
  <c r="AG15" i="4"/>
  <c r="AF15" i="4"/>
  <c r="AE15" i="4"/>
  <c r="AD15" i="4"/>
  <c r="Z15" i="4"/>
  <c r="J15" i="4"/>
  <c r="BJ14" i="4"/>
  <c r="BF14" i="4"/>
  <c r="BD14" i="4"/>
  <c r="AP14" i="4"/>
  <c r="AX14" i="4" s="1"/>
  <c r="AO14" i="4"/>
  <c r="AK14" i="4"/>
  <c r="AJ14" i="4"/>
  <c r="AH14" i="4"/>
  <c r="AG14" i="4"/>
  <c r="AF14" i="4"/>
  <c r="AE14" i="4"/>
  <c r="AD14" i="4"/>
  <c r="Z14" i="4"/>
  <c r="J14" i="4"/>
  <c r="AL14" i="4" s="1"/>
  <c r="AU1" i="4"/>
  <c r="AT1" i="4"/>
  <c r="AS1" i="4"/>
  <c r="P62" i="3"/>
  <c r="P61" i="3"/>
  <c r="L61" i="3"/>
  <c r="N61" i="3" s="1"/>
  <c r="J61" i="3"/>
  <c r="P60" i="3"/>
  <c r="L60" i="3"/>
  <c r="N60" i="3" s="1"/>
  <c r="J60" i="3"/>
  <c r="P59" i="3"/>
  <c r="J59" i="3"/>
  <c r="N58" i="3"/>
  <c r="P57" i="3"/>
  <c r="P56" i="3"/>
  <c r="P55" i="3"/>
  <c r="P54" i="3"/>
  <c r="L54" i="3"/>
  <c r="N54" i="3" s="1"/>
  <c r="P53" i="3"/>
  <c r="P52" i="3"/>
  <c r="P51" i="3"/>
  <c r="K51" i="3"/>
  <c r="P50" i="3"/>
  <c r="K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L29" i="3"/>
  <c r="N29" i="3" s="1"/>
  <c r="P28" i="3"/>
  <c r="P27" i="3"/>
  <c r="P26" i="3"/>
  <c r="P25" i="3"/>
  <c r="P24" i="3"/>
  <c r="P23" i="3"/>
  <c r="P22" i="3"/>
  <c r="P21" i="3"/>
  <c r="P20" i="3"/>
  <c r="P19" i="3"/>
  <c r="P18" i="3"/>
  <c r="P17" i="3"/>
  <c r="L17" i="3"/>
  <c r="N17" i="3" s="1"/>
  <c r="P16" i="3"/>
  <c r="P15" i="3"/>
  <c r="P14" i="3"/>
  <c r="P13" i="3"/>
  <c r="N12" i="3"/>
  <c r="J8" i="3"/>
  <c r="H8" i="3"/>
  <c r="D8" i="3"/>
  <c r="J6" i="3"/>
  <c r="H6" i="3"/>
  <c r="D6" i="3"/>
  <c r="J4" i="3"/>
  <c r="H4" i="3"/>
  <c r="D4" i="3"/>
  <c r="J2" i="3"/>
  <c r="H2" i="3"/>
  <c r="D2" i="3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I26" i="2"/>
  <c r="I19" i="1" s="1"/>
  <c r="I25" i="2"/>
  <c r="I18" i="1" s="1"/>
  <c r="I24" i="2"/>
  <c r="I17" i="1" s="1"/>
  <c r="I23" i="2"/>
  <c r="I16" i="1" s="1"/>
  <c r="I22" i="2"/>
  <c r="I21" i="2"/>
  <c r="I14" i="1" s="1"/>
  <c r="I17" i="2"/>
  <c r="F16" i="1" s="1"/>
  <c r="I16" i="2"/>
  <c r="I15" i="2"/>
  <c r="I10" i="2"/>
  <c r="F10" i="2"/>
  <c r="C10" i="2"/>
  <c r="F8" i="2"/>
  <c r="C8" i="2"/>
  <c r="F6" i="2"/>
  <c r="C6" i="2"/>
  <c r="F4" i="2"/>
  <c r="C4" i="2"/>
  <c r="F2" i="2"/>
  <c r="C2" i="2"/>
  <c r="I15" i="1"/>
  <c r="F15" i="1"/>
  <c r="I10" i="1"/>
  <c r="F10" i="1"/>
  <c r="C10" i="1"/>
  <c r="F8" i="1"/>
  <c r="C8" i="1"/>
  <c r="F6" i="1"/>
  <c r="C6" i="1"/>
  <c r="F4" i="1"/>
  <c r="C4" i="1"/>
  <c r="F2" i="1"/>
  <c r="C2" i="1"/>
  <c r="AU29" i="4" l="1"/>
  <c r="I22" i="4"/>
  <c r="I21" i="4" s="1"/>
  <c r="K14" i="3" s="1"/>
  <c r="I16" i="4"/>
  <c r="I25" i="4"/>
  <c r="I64" i="4"/>
  <c r="I18" i="2"/>
  <c r="AX16" i="4"/>
  <c r="AL31" i="4"/>
  <c r="AW46" i="4"/>
  <c r="AW51" i="4"/>
  <c r="AW66" i="4"/>
  <c r="AW73" i="4"/>
  <c r="I83" i="4"/>
  <c r="AX83" i="4"/>
  <c r="BC83" i="4" s="1"/>
  <c r="J86" i="4"/>
  <c r="L26" i="3" s="1"/>
  <c r="N26" i="3" s="1"/>
  <c r="AL110" i="4"/>
  <c r="I121" i="4"/>
  <c r="AX121" i="4"/>
  <c r="BC121" i="4" s="1"/>
  <c r="BH158" i="4"/>
  <c r="AD158" i="4" s="1"/>
  <c r="H158" i="4"/>
  <c r="BC173" i="4"/>
  <c r="AV173" i="4"/>
  <c r="I202" i="4"/>
  <c r="BI202" i="4"/>
  <c r="AE202" i="4" s="1"/>
  <c r="AX22" i="4"/>
  <c r="J50" i="4"/>
  <c r="L22" i="3" s="1"/>
  <c r="N22" i="3" s="1"/>
  <c r="AW61" i="4"/>
  <c r="AT118" i="4"/>
  <c r="H161" i="4"/>
  <c r="AW161" i="4"/>
  <c r="BH195" i="4"/>
  <c r="AD195" i="4" s="1"/>
  <c r="AW195" i="4"/>
  <c r="H25" i="4"/>
  <c r="H24" i="4" s="1"/>
  <c r="J15" i="3" s="1"/>
  <c r="AW39" i="4"/>
  <c r="AV39" i="4" s="1"/>
  <c r="BC18" i="4"/>
  <c r="H21" i="4"/>
  <c r="J14" i="3" s="1"/>
  <c r="J48" i="4"/>
  <c r="L21" i="3" s="1"/>
  <c r="N21" i="3" s="1"/>
  <c r="I53" i="4"/>
  <c r="AV55" i="4"/>
  <c r="H60" i="4"/>
  <c r="I75" i="4"/>
  <c r="AV75" i="4"/>
  <c r="J79" i="4"/>
  <c r="L25" i="3" s="1"/>
  <c r="N25" i="3" s="1"/>
  <c r="AV87" i="4"/>
  <c r="H91" i="4"/>
  <c r="H86" i="4" s="1"/>
  <c r="J26" i="3" s="1"/>
  <c r="BI161" i="4"/>
  <c r="AE161" i="4" s="1"/>
  <c r="I161" i="4"/>
  <c r="AX161" i="4"/>
  <c r="BI187" i="4"/>
  <c r="AE187" i="4" s="1"/>
  <c r="AX187" i="4"/>
  <c r="BH192" i="4"/>
  <c r="AD192" i="4" s="1"/>
  <c r="AW192" i="4"/>
  <c r="BC192" i="4" s="1"/>
  <c r="BH212" i="4"/>
  <c r="AD212" i="4" s="1"/>
  <c r="AW212" i="4"/>
  <c r="BC212" i="4" s="1"/>
  <c r="BH234" i="4"/>
  <c r="AD234" i="4" s="1"/>
  <c r="AW234" i="4"/>
  <c r="AV234" i="4" s="1"/>
  <c r="BC367" i="4"/>
  <c r="BI89" i="4"/>
  <c r="AC89" i="4" s="1"/>
  <c r="AX89" i="4"/>
  <c r="BC89" i="4" s="1"/>
  <c r="BI127" i="4"/>
  <c r="AC127" i="4" s="1"/>
  <c r="AX127" i="4"/>
  <c r="AL139" i="4"/>
  <c r="J137" i="4"/>
  <c r="L33" i="3" s="1"/>
  <c r="N33" i="3" s="1"/>
  <c r="AV192" i="4"/>
  <c r="BC23" i="4"/>
  <c r="I37" i="4"/>
  <c r="I36" i="4" s="1"/>
  <c r="K19" i="3" s="1"/>
  <c r="I40" i="4"/>
  <c r="I49" i="4"/>
  <c r="I48" i="4" s="1"/>
  <c r="K21" i="3" s="1"/>
  <c r="AV49" i="4"/>
  <c r="AV60" i="4"/>
  <c r="I62" i="4"/>
  <c r="I65" i="4"/>
  <c r="H67" i="4"/>
  <c r="I84" i="4"/>
  <c r="AV84" i="4"/>
  <c r="I89" i="4"/>
  <c r="I122" i="4"/>
  <c r="AX122" i="4"/>
  <c r="I124" i="4"/>
  <c r="AV124" i="4"/>
  <c r="I127" i="4"/>
  <c r="AW146" i="4"/>
  <c r="BH146" i="4"/>
  <c r="AD146" i="4" s="1"/>
  <c r="I176" i="4"/>
  <c r="I185" i="4"/>
  <c r="AX185" i="4"/>
  <c r="AW213" i="4"/>
  <c r="H213" i="4"/>
  <c r="H17" i="4"/>
  <c r="AW26" i="4"/>
  <c r="BC26" i="4" s="1"/>
  <c r="AL35" i="4"/>
  <c r="AU34" i="4" s="1"/>
  <c r="AX37" i="4"/>
  <c r="BC37" i="4" s="1"/>
  <c r="AX40" i="4"/>
  <c r="AW45" i="4"/>
  <c r="AX49" i="4"/>
  <c r="BC49" i="4" s="1"/>
  <c r="AX62" i="4"/>
  <c r="AX65" i="4"/>
  <c r="BC65" i="4" s="1"/>
  <c r="AX84" i="4"/>
  <c r="BC84" i="4" s="1"/>
  <c r="AS118" i="4"/>
  <c r="AX124" i="4"/>
  <c r="BC174" i="4"/>
  <c r="AX176" i="4"/>
  <c r="BC176" i="4" s="1"/>
  <c r="BH188" i="4"/>
  <c r="AD188" i="4" s="1"/>
  <c r="AW188" i="4"/>
  <c r="I203" i="4"/>
  <c r="AX203" i="4"/>
  <c r="AS38" i="4"/>
  <c r="AS63" i="4"/>
  <c r="H103" i="4"/>
  <c r="BH103" i="4"/>
  <c r="AB103" i="4" s="1"/>
  <c r="AT131" i="4"/>
  <c r="BH143" i="4"/>
  <c r="AD143" i="4" s="1"/>
  <c r="AW143" i="4"/>
  <c r="AV143" i="4" s="1"/>
  <c r="BH162" i="4"/>
  <c r="AD162" i="4" s="1"/>
  <c r="AW162" i="4"/>
  <c r="BH165" i="4"/>
  <c r="AD165" i="4" s="1"/>
  <c r="H165" i="4"/>
  <c r="AW165" i="4"/>
  <c r="AW217" i="4"/>
  <c r="AV217" i="4" s="1"/>
  <c r="H217" i="4"/>
  <c r="AS24" i="4"/>
  <c r="AV17" i="4"/>
  <c r="I19" i="4"/>
  <c r="I47" i="4"/>
  <c r="I52" i="4"/>
  <c r="H54" i="4"/>
  <c r="H56" i="4"/>
  <c r="AT63" i="4"/>
  <c r="AX72" i="4"/>
  <c r="AS69" i="4"/>
  <c r="I74" i="4"/>
  <c r="H76" i="4"/>
  <c r="BH85" i="4"/>
  <c r="AB85" i="4" s="1"/>
  <c r="H85" i="4"/>
  <c r="AW85" i="4"/>
  <c r="BC85" i="4" s="1"/>
  <c r="AV92" i="4"/>
  <c r="I97" i="4"/>
  <c r="BI114" i="4"/>
  <c r="AC114" i="4" s="1"/>
  <c r="I114" i="4"/>
  <c r="AX140" i="4"/>
  <c r="BI143" i="4"/>
  <c r="AE143" i="4" s="1"/>
  <c r="I143" i="4"/>
  <c r="AX143" i="4"/>
  <c r="BC154" i="4"/>
  <c r="AX156" i="4"/>
  <c r="BI156" i="4"/>
  <c r="AE156" i="4" s="1"/>
  <c r="I193" i="4"/>
  <c r="AX193" i="4"/>
  <c r="AV193" i="4" s="1"/>
  <c r="BI210" i="4"/>
  <c r="AE210" i="4" s="1"/>
  <c r="AX210" i="4"/>
  <c r="AV59" i="4"/>
  <c r="AT69" i="4"/>
  <c r="I136" i="4"/>
  <c r="AX136" i="4"/>
  <c r="AV180" i="4"/>
  <c r="BH220" i="4"/>
  <c r="AD220" i="4" s="1"/>
  <c r="AW220" i="4"/>
  <c r="BC220" i="4" s="1"/>
  <c r="I223" i="4"/>
  <c r="AX223" i="4"/>
  <c r="H232" i="4"/>
  <c r="AW232" i="4"/>
  <c r="BI240" i="4"/>
  <c r="AE240" i="4" s="1"/>
  <c r="AX240" i="4"/>
  <c r="BC290" i="4"/>
  <c r="H66" i="4"/>
  <c r="AU93" i="4"/>
  <c r="BI112" i="4"/>
  <c r="AC112" i="4" s="1"/>
  <c r="I112" i="4"/>
  <c r="BH115" i="4"/>
  <c r="AB115" i="4" s="1"/>
  <c r="H115" i="4"/>
  <c r="BI186" i="4"/>
  <c r="AE186" i="4" s="1"/>
  <c r="AX186" i="4"/>
  <c r="BI201" i="4"/>
  <c r="AE201" i="4" s="1"/>
  <c r="AX201" i="4"/>
  <c r="AV201" i="4" s="1"/>
  <c r="I201" i="4"/>
  <c r="H27" i="4"/>
  <c r="H39" i="4"/>
  <c r="BC59" i="4"/>
  <c r="I61" i="4"/>
  <c r="AW64" i="4"/>
  <c r="AV64" i="4" s="1"/>
  <c r="AU79" i="4"/>
  <c r="AV88" i="4"/>
  <c r="AX90" i="4"/>
  <c r="BC90" i="4" s="1"/>
  <c r="AW94" i="4"/>
  <c r="BH94" i="4"/>
  <c r="AB94" i="4" s="1"/>
  <c r="AV126" i="4"/>
  <c r="BC126" i="4"/>
  <c r="J149" i="4"/>
  <c r="L34" i="3" s="1"/>
  <c r="N34" i="3" s="1"/>
  <c r="I186" i="4"/>
  <c r="AW186" i="4"/>
  <c r="AV186" i="4" s="1"/>
  <c r="H201" i="4"/>
  <c r="AU21" i="4"/>
  <c r="AW25" i="4"/>
  <c r="H30" i="4"/>
  <c r="I39" i="4"/>
  <c r="I41" i="4"/>
  <c r="AW16" i="4"/>
  <c r="AU24" i="4"/>
  <c r="AX25" i="4"/>
  <c r="H33" i="4"/>
  <c r="H32" i="4" s="1"/>
  <c r="J17" i="3" s="1"/>
  <c r="AX39" i="4"/>
  <c r="AW41" i="4"/>
  <c r="AV41" i="4" s="1"/>
  <c r="H46" i="4"/>
  <c r="AX61" i="4"/>
  <c r="BC61" i="4" s="1"/>
  <c r="AX64" i="4"/>
  <c r="AL80" i="4"/>
  <c r="AX94" i="4"/>
  <c r="BI94" i="4"/>
  <c r="AC94" i="4" s="1"/>
  <c r="AX112" i="4"/>
  <c r="BC112" i="4" s="1"/>
  <c r="BI184" i="4"/>
  <c r="AE184" i="4" s="1"/>
  <c r="AX184" i="4"/>
  <c r="AV184" i="4" s="1"/>
  <c r="BI189" i="4"/>
  <c r="AE189" i="4" s="1"/>
  <c r="AX189" i="4"/>
  <c r="BI193" i="4"/>
  <c r="BI218" i="4"/>
  <c r="AE218" i="4" s="1"/>
  <c r="AX218" i="4"/>
  <c r="BC218" i="4" s="1"/>
  <c r="BI233" i="4"/>
  <c r="AE233" i="4" s="1"/>
  <c r="I233" i="4"/>
  <c r="AX233" i="4"/>
  <c r="AS79" i="4"/>
  <c r="I85" i="4"/>
  <c r="AT125" i="4"/>
  <c r="H159" i="4"/>
  <c r="AS178" i="4"/>
  <c r="I244" i="4"/>
  <c r="AW244" i="4"/>
  <c r="BC244" i="4" s="1"/>
  <c r="H246" i="4"/>
  <c r="I253" i="4"/>
  <c r="AX253" i="4"/>
  <c r="AW266" i="4"/>
  <c r="AW276" i="4"/>
  <c r="I279" i="4"/>
  <c r="AX279" i="4"/>
  <c r="AX281" i="4"/>
  <c r="AX289" i="4"/>
  <c r="H291" i="4"/>
  <c r="AW291" i="4"/>
  <c r="H294" i="4"/>
  <c r="AW294" i="4"/>
  <c r="AX299" i="4"/>
  <c r="BC299" i="4" s="1"/>
  <c r="AX302" i="4"/>
  <c r="AW304" i="4"/>
  <c r="AT321" i="4"/>
  <c r="BH324" i="4"/>
  <c r="AD324" i="4" s="1"/>
  <c r="AS342" i="4"/>
  <c r="J348" i="4"/>
  <c r="L53" i="3" s="1"/>
  <c r="N53" i="3" s="1"/>
  <c r="AX377" i="4"/>
  <c r="BH379" i="4"/>
  <c r="AB379" i="4" s="1"/>
  <c r="BI386" i="4"/>
  <c r="AC386" i="4" s="1"/>
  <c r="AX392" i="4"/>
  <c r="BC392" i="4" s="1"/>
  <c r="AW394" i="4"/>
  <c r="AX401" i="4"/>
  <c r="BH403" i="4"/>
  <c r="AX85" i="4"/>
  <c r="AW111" i="4"/>
  <c r="H163" i="4"/>
  <c r="AW163" i="4"/>
  <c r="AX199" i="4"/>
  <c r="AV199" i="4" s="1"/>
  <c r="AV209" i="4"/>
  <c r="AW211" i="4"/>
  <c r="AV216" i="4"/>
  <c r="AW226" i="4"/>
  <c r="AV226" i="4" s="1"/>
  <c r="J238" i="4"/>
  <c r="L40" i="3" s="1"/>
  <c r="N40" i="3" s="1"/>
  <c r="AV242" i="4"/>
  <c r="AX244" i="4"/>
  <c r="AW258" i="4"/>
  <c r="BH268" i="4"/>
  <c r="AD268" i="4" s="1"/>
  <c r="AS300" i="4"/>
  <c r="AX304" i="4"/>
  <c r="AT306" i="4"/>
  <c r="I317" i="4"/>
  <c r="K46" i="3" s="1"/>
  <c r="AU337" i="4"/>
  <c r="AX107" i="4"/>
  <c r="BC107" i="4" s="1"/>
  <c r="AX111" i="4"/>
  <c r="BC111" i="4" s="1"/>
  <c r="BC113" i="4"/>
  <c r="AV123" i="4"/>
  <c r="AS137" i="4"/>
  <c r="I153" i="4"/>
  <c r="AX153" i="4"/>
  <c r="AX157" i="4"/>
  <c r="AX163" i="4"/>
  <c r="AX165" i="4"/>
  <c r="J169" i="4"/>
  <c r="L35" i="3" s="1"/>
  <c r="N35" i="3" s="1"/>
  <c r="AX211" i="4"/>
  <c r="AV211" i="4" s="1"/>
  <c r="AX226" i="4"/>
  <c r="AS231" i="4"/>
  <c r="BI255" i="4"/>
  <c r="AE255" i="4" s="1"/>
  <c r="H274" i="4"/>
  <c r="AV298" i="4"/>
  <c r="H319" i="4"/>
  <c r="BI322" i="4"/>
  <c r="AE322" i="4" s="1"/>
  <c r="H325" i="4"/>
  <c r="J328" i="4"/>
  <c r="L48" i="3" s="1"/>
  <c r="N48" i="3" s="1"/>
  <c r="H333" i="4"/>
  <c r="I352" i="4"/>
  <c r="BH361" i="4"/>
  <c r="AB361" i="4" s="1"/>
  <c r="BI370" i="4"/>
  <c r="AC370" i="4" s="1"/>
  <c r="I385" i="4"/>
  <c r="AW385" i="4"/>
  <c r="BC385" i="4" s="1"/>
  <c r="AS227" i="4"/>
  <c r="BH276" i="4"/>
  <c r="AD276" i="4" s="1"/>
  <c r="AU328" i="4"/>
  <c r="BC341" i="4"/>
  <c r="H347" i="4"/>
  <c r="I365" i="4"/>
  <c r="BI367" i="4"/>
  <c r="AC367" i="4" s="1"/>
  <c r="I376" i="4"/>
  <c r="I400" i="4"/>
  <c r="J418" i="4"/>
  <c r="L62" i="3" s="1"/>
  <c r="N62" i="3" s="1"/>
  <c r="AS418" i="4"/>
  <c r="BC344" i="4"/>
  <c r="AU131" i="4"/>
  <c r="AS169" i="4"/>
  <c r="AX219" i="4"/>
  <c r="BC219" i="4" s="1"/>
  <c r="I265" i="4"/>
  <c r="AW265" i="4"/>
  <c r="AX267" i="4"/>
  <c r="H277" i="4"/>
  <c r="AV277" i="4"/>
  <c r="I280" i="4"/>
  <c r="AW280" i="4"/>
  <c r="AV280" i="4" s="1"/>
  <c r="I282" i="4"/>
  <c r="H285" i="4"/>
  <c r="I288" i="4"/>
  <c r="AW288" i="4"/>
  <c r="AV288" i="4" s="1"/>
  <c r="I290" i="4"/>
  <c r="AV290" i="4"/>
  <c r="I292" i="4"/>
  <c r="I303" i="4"/>
  <c r="AW303" i="4"/>
  <c r="AW308" i="4"/>
  <c r="AV308" i="4" s="1"/>
  <c r="AW311" i="4"/>
  <c r="AV311" i="4" s="1"/>
  <c r="AS317" i="4"/>
  <c r="I330" i="4"/>
  <c r="I328" i="4" s="1"/>
  <c r="K48" i="3" s="1"/>
  <c r="H336" i="4"/>
  <c r="H335" i="4" s="1"/>
  <c r="J50" i="3" s="1"/>
  <c r="AW344" i="4"/>
  <c r="AT353" i="4"/>
  <c r="AS359" i="4"/>
  <c r="AT359" i="4"/>
  <c r="AW365" i="4"/>
  <c r="I368" i="4"/>
  <c r="AW368" i="4"/>
  <c r="AW376" i="4"/>
  <c r="I378" i="4"/>
  <c r="AW378" i="4"/>
  <c r="AV378" i="4" s="1"/>
  <c r="I393" i="4"/>
  <c r="H398" i="4"/>
  <c r="AW400" i="4"/>
  <c r="AW402" i="4"/>
  <c r="I412" i="4"/>
  <c r="I411" i="4" s="1"/>
  <c r="AW256" i="4"/>
  <c r="AX265" i="4"/>
  <c r="AX280" i="4"/>
  <c r="AX288" i="4"/>
  <c r="AX303" i="4"/>
  <c r="BC303" i="4" s="1"/>
  <c r="AW320" i="4"/>
  <c r="BC320" i="4" s="1"/>
  <c r="AX365" i="4"/>
  <c r="BC365" i="4" s="1"/>
  <c r="AX368" i="4"/>
  <c r="AX376" i="4"/>
  <c r="AX400" i="4"/>
  <c r="BC400" i="4" s="1"/>
  <c r="AW114" i="4"/>
  <c r="AW140" i="4"/>
  <c r="AX164" i="4"/>
  <c r="AV164" i="4" s="1"/>
  <c r="AS194" i="4"/>
  <c r="H205" i="4"/>
  <c r="H210" i="4"/>
  <c r="AW210" i="4"/>
  <c r="BC210" i="4" s="1"/>
  <c r="AV225" i="4"/>
  <c r="I228" i="4"/>
  <c r="AX232" i="4"/>
  <c r="BC232" i="4" s="1"/>
  <c r="I237" i="4"/>
  <c r="AT238" i="4"/>
  <c r="AW243" i="4"/>
  <c r="AV243" i="4" s="1"/>
  <c r="AX256" i="4"/>
  <c r="BC256" i="4" s="1"/>
  <c r="AW259" i="4"/>
  <c r="BC261" i="4"/>
  <c r="H275" i="4"/>
  <c r="AX290" i="4"/>
  <c r="AS293" i="4"/>
  <c r="AW305" i="4"/>
  <c r="BC305" i="4" s="1"/>
  <c r="BC324" i="4"/>
  <c r="AX330" i="4"/>
  <c r="AT342" i="4"/>
  <c r="AX374" i="4"/>
  <c r="H386" i="4"/>
  <c r="AX391" i="4"/>
  <c r="AV391" i="4" s="1"/>
  <c r="AX393" i="4"/>
  <c r="AV393" i="4" s="1"/>
  <c r="BC398" i="4"/>
  <c r="AW412" i="4"/>
  <c r="BC412" i="4" s="1"/>
  <c r="AW419" i="4"/>
  <c r="AT231" i="4"/>
  <c r="AS238" i="4"/>
  <c r="AX243" i="4"/>
  <c r="BC243" i="4" s="1"/>
  <c r="BC245" i="4"/>
  <c r="AX259" i="4"/>
  <c r="BI267" i="4"/>
  <c r="AE267" i="4" s="1"/>
  <c r="AT293" i="4"/>
  <c r="H299" i="4"/>
  <c r="BI308" i="4"/>
  <c r="AE308" i="4" s="1"/>
  <c r="H317" i="4"/>
  <c r="J46" i="3" s="1"/>
  <c r="AT331" i="4"/>
  <c r="J342" i="4"/>
  <c r="L52" i="3" s="1"/>
  <c r="N52" i="3" s="1"/>
  <c r="BI378" i="4"/>
  <c r="AC378" i="4" s="1"/>
  <c r="AW384" i="4"/>
  <c r="BC384" i="4" s="1"/>
  <c r="AV386" i="4"/>
  <c r="I405" i="4"/>
  <c r="AX412" i="4"/>
  <c r="AS257" i="4"/>
  <c r="I299" i="4"/>
  <c r="BH320" i="4"/>
  <c r="AD320" i="4" s="1"/>
  <c r="BC322" i="4"/>
  <c r="AV264" i="4"/>
  <c r="AV279" i="4"/>
  <c r="BC357" i="4"/>
  <c r="H377" i="4"/>
  <c r="AX399" i="4"/>
  <c r="BC399" i="4" s="1"/>
  <c r="H401" i="4"/>
  <c r="AW417" i="4"/>
  <c r="AS86" i="4"/>
  <c r="AS125" i="4"/>
  <c r="AT178" i="4"/>
  <c r="BC195" i="4"/>
  <c r="AW233" i="4"/>
  <c r="BC233" i="4" s="1"/>
  <c r="H235" i="4"/>
  <c r="AW241" i="4"/>
  <c r="AV241" i="4" s="1"/>
  <c r="BH261" i="4"/>
  <c r="AD261" i="4" s="1"/>
  <c r="AX264" i="4"/>
  <c r="BC264" i="4" s="1"/>
  <c r="I266" i="4"/>
  <c r="I281" i="4"/>
  <c r="AW281" i="4"/>
  <c r="I289" i="4"/>
  <c r="AW289" i="4"/>
  <c r="AW299" i="4"/>
  <c r="I302" i="4"/>
  <c r="AW302" i="4"/>
  <c r="AV302" i="4" s="1"/>
  <c r="I304" i="4"/>
  <c r="I307" i="4"/>
  <c r="AX307" i="4"/>
  <c r="BC307" i="4" s="1"/>
  <c r="AX313" i="4"/>
  <c r="AW315" i="4"/>
  <c r="H322" i="4"/>
  <c r="AX322" i="4"/>
  <c r="AT328" i="4"/>
  <c r="I332" i="4"/>
  <c r="I331" i="4" s="1"/>
  <c r="K49" i="3" s="1"/>
  <c r="J337" i="4"/>
  <c r="L51" i="3" s="1"/>
  <c r="N51" i="3" s="1"/>
  <c r="AX343" i="4"/>
  <c r="I349" i="4"/>
  <c r="I348" i="4" s="1"/>
  <c r="K53" i="3" s="1"/>
  <c r="I357" i="4"/>
  <c r="AW357" i="4"/>
  <c r="AX367" i="4"/>
  <c r="AV367" i="4" s="1"/>
  <c r="AW370" i="4"/>
  <c r="AX375" i="4"/>
  <c r="BC375" i="4" s="1"/>
  <c r="I377" i="4"/>
  <c r="AW377" i="4"/>
  <c r="BC377" i="4" s="1"/>
  <c r="H382" i="4"/>
  <c r="I392" i="4"/>
  <c r="AW392" i="4"/>
  <c r="H394" i="4"/>
  <c r="I397" i="4"/>
  <c r="I401" i="4"/>
  <c r="AW401" i="4"/>
  <c r="BC401" i="4" s="1"/>
  <c r="H409" i="4"/>
  <c r="H408" i="4" s="1"/>
  <c r="J57" i="3" s="1"/>
  <c r="AT227" i="4"/>
  <c r="AW229" i="4"/>
  <c r="BC229" i="4" s="1"/>
  <c r="AV228" i="4"/>
  <c r="AX228" i="4"/>
  <c r="C28" i="1"/>
  <c r="F28" i="1" s="1"/>
  <c r="H228" i="4"/>
  <c r="AX33" i="4"/>
  <c r="I33" i="4"/>
  <c r="I32" i="4" s="1"/>
  <c r="K17" i="3" s="1"/>
  <c r="AX67" i="4"/>
  <c r="BC67" i="4" s="1"/>
  <c r="I67" i="4"/>
  <c r="BC15" i="4"/>
  <c r="AV15" i="4"/>
  <c r="BC20" i="4"/>
  <c r="BC25" i="4"/>
  <c r="AV25" i="4"/>
  <c r="AW31" i="4"/>
  <c r="H31" i="4"/>
  <c r="AV37" i="4"/>
  <c r="AL39" i="4"/>
  <c r="AU38" i="4" s="1"/>
  <c r="J38" i="4"/>
  <c r="L20" i="3" s="1"/>
  <c r="N20" i="3" s="1"/>
  <c r="AT38" i="4"/>
  <c r="AW43" i="4"/>
  <c r="H43" i="4"/>
  <c r="AW57" i="4"/>
  <c r="H57" i="4"/>
  <c r="AX70" i="4"/>
  <c r="AV70" i="4" s="1"/>
  <c r="I70" i="4"/>
  <c r="BC72" i="4"/>
  <c r="AV72" i="4"/>
  <c r="BC77" i="4"/>
  <c r="AX78" i="4"/>
  <c r="AV78" i="4" s="1"/>
  <c r="I78" i="4"/>
  <c r="AU86" i="4"/>
  <c r="BC94" i="4"/>
  <c r="AV94" i="4"/>
  <c r="AX30" i="4"/>
  <c r="AV30" i="4" s="1"/>
  <c r="I30" i="4"/>
  <c r="BI33" i="4"/>
  <c r="AC33" i="4" s="1"/>
  <c r="BC41" i="4"/>
  <c r="AX42" i="4"/>
  <c r="BC42" i="4" s="1"/>
  <c r="I42" i="4"/>
  <c r="I38" i="4" s="1"/>
  <c r="K20" i="3" s="1"/>
  <c r="BC44" i="4"/>
  <c r="AV44" i="4"/>
  <c r="BC55" i="4"/>
  <c r="AX56" i="4"/>
  <c r="BC56" i="4" s="1"/>
  <c r="I56" i="4"/>
  <c r="I50" i="4" s="1"/>
  <c r="K22" i="3" s="1"/>
  <c r="BC58" i="4"/>
  <c r="AV58" i="4"/>
  <c r="BI67" i="4"/>
  <c r="AC67" i="4" s="1"/>
  <c r="AV83" i="4"/>
  <c r="I45" i="2"/>
  <c r="I24" i="1" s="1"/>
  <c r="BC22" i="4"/>
  <c r="AV22" i="4"/>
  <c r="AU50" i="4"/>
  <c r="BC82" i="4"/>
  <c r="AV82" i="4"/>
  <c r="AW14" i="4"/>
  <c r="H14" i="4"/>
  <c r="BH14" i="4"/>
  <c r="AB14" i="4" s="1"/>
  <c r="AS13" i="4"/>
  <c r="C27" i="1"/>
  <c r="BC27" i="4"/>
  <c r="AV27" i="4"/>
  <c r="AW28" i="4"/>
  <c r="H28" i="4"/>
  <c r="AV47" i="4"/>
  <c r="AV53" i="4"/>
  <c r="BI70" i="4"/>
  <c r="AC70" i="4" s="1"/>
  <c r="BI78" i="4"/>
  <c r="AC78" i="4" s="1"/>
  <c r="BC81" i="4"/>
  <c r="AV81" i="4"/>
  <c r="AW71" i="4"/>
  <c r="H71" i="4"/>
  <c r="H69" i="4" s="1"/>
  <c r="J24" i="3" s="1"/>
  <c r="I22" i="1"/>
  <c r="J13" i="4"/>
  <c r="BC19" i="4"/>
  <c r="AV19" i="4"/>
  <c r="AX27" i="4"/>
  <c r="I27" i="4"/>
  <c r="BI56" i="4"/>
  <c r="AC56" i="4" s="1"/>
  <c r="J69" i="4"/>
  <c r="L24" i="3" s="1"/>
  <c r="N24" i="3" s="1"/>
  <c r="BC76" i="4"/>
  <c r="AV76" i="4"/>
  <c r="BC80" i="4"/>
  <c r="C21" i="1"/>
  <c r="C20" i="1"/>
  <c r="H29" i="4"/>
  <c r="J16" i="3" s="1"/>
  <c r="BC33" i="4"/>
  <c r="AV33" i="4"/>
  <c r="BC40" i="4"/>
  <c r="AV40" i="4"/>
  <c r="BC54" i="4"/>
  <c r="AV54" i="4"/>
  <c r="BC62" i="4"/>
  <c r="AV62" i="4"/>
  <c r="AL64" i="4"/>
  <c r="AU63" i="4" s="1"/>
  <c r="J63" i="4"/>
  <c r="L23" i="3" s="1"/>
  <c r="N23" i="3" s="1"/>
  <c r="AW68" i="4"/>
  <c r="H68" i="4"/>
  <c r="H63" i="4" s="1"/>
  <c r="J23" i="3" s="1"/>
  <c r="AW117" i="4"/>
  <c r="H117" i="4"/>
  <c r="BI20" i="4"/>
  <c r="AC20" i="4" s="1"/>
  <c r="BI23" i="4"/>
  <c r="AC23" i="4" s="1"/>
  <c r="BI26" i="4"/>
  <c r="AC26" i="4" s="1"/>
  <c r="BH27" i="4"/>
  <c r="AB27" i="4" s="1"/>
  <c r="BH30" i="4"/>
  <c r="AB30" i="4" s="1"/>
  <c r="BH33" i="4"/>
  <c r="AB33" i="4" s="1"/>
  <c r="BI35" i="4"/>
  <c r="AC35" i="4" s="1"/>
  <c r="BI41" i="4"/>
  <c r="AC41" i="4" s="1"/>
  <c r="BH42" i="4"/>
  <c r="AB42" i="4" s="1"/>
  <c r="BI55" i="4"/>
  <c r="AC55" i="4" s="1"/>
  <c r="BH56" i="4"/>
  <c r="AB56" i="4" s="1"/>
  <c r="BI66" i="4"/>
  <c r="AC66" i="4" s="1"/>
  <c r="BH67" i="4"/>
  <c r="AB67" i="4" s="1"/>
  <c r="BH70" i="4"/>
  <c r="AB70" i="4" s="1"/>
  <c r="BI77" i="4"/>
  <c r="AC77" i="4" s="1"/>
  <c r="BH78" i="4"/>
  <c r="AB78" i="4" s="1"/>
  <c r="BI80" i="4"/>
  <c r="AC80" i="4" s="1"/>
  <c r="BH81" i="4"/>
  <c r="AB81" i="4" s="1"/>
  <c r="AV90" i="4"/>
  <c r="J93" i="4"/>
  <c r="L27" i="3" s="1"/>
  <c r="N27" i="3" s="1"/>
  <c r="BC99" i="4"/>
  <c r="AW109" i="4"/>
  <c r="H109" i="4"/>
  <c r="AV127" i="4"/>
  <c r="AX181" i="4"/>
  <c r="AV181" i="4" s="1"/>
  <c r="I181" i="4"/>
  <c r="BI181" i="4"/>
  <c r="AE181" i="4" s="1"/>
  <c r="BH82" i="4"/>
  <c r="AB82" i="4" s="1"/>
  <c r="AX95" i="4"/>
  <c r="BC95" i="4" s="1"/>
  <c r="I95" i="4"/>
  <c r="AL391" i="4"/>
  <c r="AU366" i="4" s="1"/>
  <c r="J366" i="4"/>
  <c r="L56" i="3" s="1"/>
  <c r="N56" i="3" s="1"/>
  <c r="AX402" i="4"/>
  <c r="AV402" i="4" s="1"/>
  <c r="BI402" i="4"/>
  <c r="I402" i="4"/>
  <c r="BC415" i="4"/>
  <c r="AV415" i="4"/>
  <c r="BI81" i="4"/>
  <c r="AC81" i="4" s="1"/>
  <c r="BI14" i="4"/>
  <c r="AC14" i="4" s="1"/>
  <c r="BH15" i="4"/>
  <c r="AB15" i="4" s="1"/>
  <c r="BI28" i="4"/>
  <c r="AC28" i="4" s="1"/>
  <c r="BI31" i="4"/>
  <c r="AC31" i="4" s="1"/>
  <c r="BI43" i="4"/>
  <c r="AC43" i="4" s="1"/>
  <c r="BH44" i="4"/>
  <c r="AB44" i="4" s="1"/>
  <c r="BI57" i="4"/>
  <c r="AC57" i="4" s="1"/>
  <c r="BH58" i="4"/>
  <c r="AB58" i="4" s="1"/>
  <c r="BI68" i="4"/>
  <c r="AC68" i="4" s="1"/>
  <c r="BI71" i="4"/>
  <c r="AC71" i="4" s="1"/>
  <c r="BH72" i="4"/>
  <c r="AB72" i="4" s="1"/>
  <c r="BI82" i="4"/>
  <c r="AC82" i="4" s="1"/>
  <c r="BH83" i="4"/>
  <c r="AB83" i="4" s="1"/>
  <c r="I91" i="4"/>
  <c r="I86" i="4" s="1"/>
  <c r="K26" i="3" s="1"/>
  <c r="I92" i="4"/>
  <c r="AV97" i="4"/>
  <c r="BC97" i="4"/>
  <c r="AW100" i="4"/>
  <c r="AX116" i="4"/>
  <c r="AV116" i="4" s="1"/>
  <c r="I116" i="4"/>
  <c r="AV119" i="4"/>
  <c r="AW120" i="4"/>
  <c r="H120" i="4"/>
  <c r="AU125" i="4"/>
  <c r="AX130" i="4"/>
  <c r="AV130" i="4" s="1"/>
  <c r="I130" i="4"/>
  <c r="AW145" i="4"/>
  <c r="H145" i="4"/>
  <c r="BC146" i="4"/>
  <c r="AV146" i="4"/>
  <c r="BC147" i="4"/>
  <c r="AV147" i="4"/>
  <c r="BC167" i="4"/>
  <c r="BI15" i="4"/>
  <c r="AC15" i="4" s="1"/>
  <c r="BH16" i="4"/>
  <c r="AB16" i="4" s="1"/>
  <c r="AL17" i="4"/>
  <c r="AU13" i="4" s="1"/>
  <c r="BI44" i="4"/>
  <c r="AC44" i="4" s="1"/>
  <c r="BH45" i="4"/>
  <c r="AB45" i="4" s="1"/>
  <c r="BH51" i="4"/>
  <c r="AB51" i="4" s="1"/>
  <c r="BI58" i="4"/>
  <c r="AC58" i="4" s="1"/>
  <c r="BH59" i="4"/>
  <c r="AB59" i="4" s="1"/>
  <c r="BI72" i="4"/>
  <c r="AC72" i="4" s="1"/>
  <c r="BH73" i="4"/>
  <c r="AB73" i="4" s="1"/>
  <c r="AL74" i="4"/>
  <c r="AU69" i="4" s="1"/>
  <c r="I81" i="4"/>
  <c r="I79" i="4" s="1"/>
  <c r="K25" i="3" s="1"/>
  <c r="H82" i="4"/>
  <c r="H79" i="4" s="1"/>
  <c r="J25" i="3" s="1"/>
  <c r="BI83" i="4"/>
  <c r="AC83" i="4" s="1"/>
  <c r="BH84" i="4"/>
  <c r="AB84" i="4" s="1"/>
  <c r="BH87" i="4"/>
  <c r="AB87" i="4" s="1"/>
  <c r="AX91" i="4"/>
  <c r="AV91" i="4" s="1"/>
  <c r="H95" i="4"/>
  <c r="BI96" i="4"/>
  <c r="AC96" i="4" s="1"/>
  <c r="AU102" i="4"/>
  <c r="AX119" i="4"/>
  <c r="BC119" i="4" s="1"/>
  <c r="I119" i="4"/>
  <c r="AV121" i="4"/>
  <c r="BC133" i="4"/>
  <c r="AV133" i="4"/>
  <c r="AT149" i="4"/>
  <c r="AX158" i="4"/>
  <c r="BI158" i="4"/>
  <c r="AE158" i="4" s="1"/>
  <c r="I158" i="4"/>
  <c r="F14" i="1"/>
  <c r="F22" i="1" s="1"/>
  <c r="I14" i="4"/>
  <c r="H15" i="4"/>
  <c r="J21" i="4"/>
  <c r="L14" i="3" s="1"/>
  <c r="N14" i="3" s="1"/>
  <c r="J24" i="4"/>
  <c r="L15" i="3" s="1"/>
  <c r="N15" i="3" s="1"/>
  <c r="I28" i="4"/>
  <c r="I31" i="4"/>
  <c r="J36" i="4"/>
  <c r="L19" i="3" s="1"/>
  <c r="N19" i="3" s="1"/>
  <c r="I43" i="4"/>
  <c r="H44" i="4"/>
  <c r="I57" i="4"/>
  <c r="H58" i="4"/>
  <c r="I68" i="4"/>
  <c r="I63" i="4" s="1"/>
  <c r="K23" i="3" s="1"/>
  <c r="I71" i="4"/>
  <c r="H72" i="4"/>
  <c r="I82" i="4"/>
  <c r="H83" i="4"/>
  <c r="H94" i="4"/>
  <c r="BI99" i="4"/>
  <c r="AC99" i="4" s="1"/>
  <c r="BH109" i="4"/>
  <c r="AB109" i="4" s="1"/>
  <c r="AV122" i="4"/>
  <c r="BC122" i="4"/>
  <c r="AX133" i="4"/>
  <c r="I133" i="4"/>
  <c r="AW134" i="4"/>
  <c r="H134" i="4"/>
  <c r="BC135" i="4"/>
  <c r="AV135" i="4"/>
  <c r="AV136" i="4"/>
  <c r="BC136" i="4"/>
  <c r="AT137" i="4"/>
  <c r="AV139" i="4"/>
  <c r="BC139" i="4"/>
  <c r="AU149" i="4"/>
  <c r="AV158" i="4"/>
  <c r="BC110" i="4"/>
  <c r="AV110" i="4"/>
  <c r="BC116" i="4"/>
  <c r="I27" i="2"/>
  <c r="F29" i="2" s="1"/>
  <c r="BH92" i="4"/>
  <c r="AB92" i="4" s="1"/>
  <c r="I94" i="4"/>
  <c r="AW96" i="4"/>
  <c r="H96" i="4"/>
  <c r="BH96" i="4"/>
  <c r="AB96" i="4" s="1"/>
  <c r="BH100" i="4"/>
  <c r="AB100" i="4" s="1"/>
  <c r="AS108" i="4"/>
  <c r="BI116" i="4"/>
  <c r="AC116" i="4" s="1"/>
  <c r="BH117" i="4"/>
  <c r="AB117" i="4" s="1"/>
  <c r="BI130" i="4"/>
  <c r="AU137" i="4"/>
  <c r="BC150" i="4"/>
  <c r="AV150" i="4"/>
  <c r="BI92" i="4"/>
  <c r="AC92" i="4" s="1"/>
  <c r="BH95" i="4"/>
  <c r="AB95" i="4" s="1"/>
  <c r="BC103" i="4"/>
  <c r="AV103" i="4"/>
  <c r="AW106" i="4"/>
  <c r="H106" i="4"/>
  <c r="BC138" i="4"/>
  <c r="AV138" i="4"/>
  <c r="AX148" i="4"/>
  <c r="BC148" i="4" s="1"/>
  <c r="I148" i="4"/>
  <c r="BI148" i="4"/>
  <c r="AV163" i="4"/>
  <c r="BC163" i="4"/>
  <c r="AW182" i="4"/>
  <c r="H182" i="4"/>
  <c r="BH182" i="4"/>
  <c r="AD182" i="4" s="1"/>
  <c r="BI95" i="4"/>
  <c r="AC95" i="4" s="1"/>
  <c r="AX96" i="4"/>
  <c r="AX105" i="4"/>
  <c r="AV105" i="4" s="1"/>
  <c r="I105" i="4"/>
  <c r="AV107" i="4"/>
  <c r="AU108" i="4"/>
  <c r="J118" i="4"/>
  <c r="L30" i="3" s="1"/>
  <c r="N30" i="3" s="1"/>
  <c r="AL124" i="4"/>
  <c r="AU118" i="4" s="1"/>
  <c r="AW151" i="4"/>
  <c r="BH151" i="4"/>
  <c r="AD151" i="4" s="1"/>
  <c r="H151" i="4"/>
  <c r="AV155" i="4"/>
  <c r="BC155" i="4"/>
  <c r="BC157" i="4"/>
  <c r="AV157" i="4"/>
  <c r="BC161" i="4"/>
  <c r="AV161" i="4"/>
  <c r="BI101" i="4"/>
  <c r="AC101" i="4" s="1"/>
  <c r="BI104" i="4"/>
  <c r="AC104" i="4" s="1"/>
  <c r="BH105" i="4"/>
  <c r="AB105" i="4" s="1"/>
  <c r="I113" i="4"/>
  <c r="H114" i="4"/>
  <c r="BI115" i="4"/>
  <c r="AC115" i="4" s="1"/>
  <c r="BH116" i="4"/>
  <c r="AB116" i="4" s="1"/>
  <c r="BH119" i="4"/>
  <c r="AB119" i="4" s="1"/>
  <c r="BI129" i="4"/>
  <c r="AC129" i="4" s="1"/>
  <c r="BH130" i="4"/>
  <c r="BI132" i="4"/>
  <c r="AE132" i="4" s="1"/>
  <c r="BH133" i="4"/>
  <c r="AD133" i="4" s="1"/>
  <c r="AX152" i="4"/>
  <c r="AV175" i="4"/>
  <c r="BC181" i="4"/>
  <c r="BC189" i="4"/>
  <c r="AV189" i="4"/>
  <c r="AX100" i="4"/>
  <c r="I101" i="4"/>
  <c r="AW101" i="4"/>
  <c r="AX103" i="4"/>
  <c r="I104" i="4"/>
  <c r="AW104" i="4"/>
  <c r="H105" i="4"/>
  <c r="H102" i="4" s="1"/>
  <c r="J28" i="3" s="1"/>
  <c r="BI106" i="4"/>
  <c r="AC106" i="4" s="1"/>
  <c r="BH107" i="4"/>
  <c r="AB107" i="4" s="1"/>
  <c r="BI109" i="4"/>
  <c r="AC109" i="4" s="1"/>
  <c r="BH110" i="4"/>
  <c r="AB110" i="4" s="1"/>
  <c r="AX114" i="4"/>
  <c r="BC114" i="4" s="1"/>
  <c r="I115" i="4"/>
  <c r="AW115" i="4"/>
  <c r="H116" i="4"/>
  <c r="BI117" i="4"/>
  <c r="AC117" i="4" s="1"/>
  <c r="H119" i="4"/>
  <c r="BI120" i="4"/>
  <c r="AC120" i="4" s="1"/>
  <c r="BH121" i="4"/>
  <c r="AB121" i="4" s="1"/>
  <c r="BC124" i="4"/>
  <c r="J125" i="4"/>
  <c r="L31" i="3" s="1"/>
  <c r="N31" i="3" s="1"/>
  <c r="BC127" i="4"/>
  <c r="AX128" i="4"/>
  <c r="BC128" i="4" s="1"/>
  <c r="I129" i="4"/>
  <c r="AW129" i="4"/>
  <c r="H130" i="4"/>
  <c r="H125" i="4" s="1"/>
  <c r="J31" i="3" s="1"/>
  <c r="I132" i="4"/>
  <c r="AW132" i="4"/>
  <c r="H133" i="4"/>
  <c r="BI134" i="4"/>
  <c r="AE134" i="4" s="1"/>
  <c r="BH135" i="4"/>
  <c r="AD135" i="4" s="1"/>
  <c r="BH138" i="4"/>
  <c r="AD138" i="4" s="1"/>
  <c r="AW142" i="4"/>
  <c r="BC143" i="4"/>
  <c r="BI144" i="4"/>
  <c r="AE144" i="4" s="1"/>
  <c r="BI145" i="4"/>
  <c r="AE145" i="4" s="1"/>
  <c r="BI146" i="4"/>
  <c r="AE146" i="4" s="1"/>
  <c r="AX151" i="4"/>
  <c r="I151" i="4"/>
  <c r="BH153" i="4"/>
  <c r="AD153" i="4" s="1"/>
  <c r="AV154" i="4"/>
  <c r="BH156" i="4"/>
  <c r="AD156" i="4" s="1"/>
  <c r="AW160" i="4"/>
  <c r="H160" i="4"/>
  <c r="BC166" i="4"/>
  <c r="AX167" i="4"/>
  <c r="AV167" i="4" s="1"/>
  <c r="I167" i="4"/>
  <c r="AV176" i="4"/>
  <c r="BC183" i="4"/>
  <c r="AV183" i="4"/>
  <c r="BC237" i="4"/>
  <c r="AV237" i="4"/>
  <c r="BH97" i="4"/>
  <c r="AB97" i="4" s="1"/>
  <c r="BI107" i="4"/>
  <c r="AC107" i="4" s="1"/>
  <c r="BI110" i="4"/>
  <c r="AC110" i="4" s="1"/>
  <c r="BH111" i="4"/>
  <c r="AB111" i="4" s="1"/>
  <c r="BI121" i="4"/>
  <c r="AC121" i="4" s="1"/>
  <c r="BH122" i="4"/>
  <c r="AB122" i="4" s="1"/>
  <c r="BI135" i="4"/>
  <c r="AE135" i="4" s="1"/>
  <c r="BH136" i="4"/>
  <c r="BI138" i="4"/>
  <c r="AE138" i="4" s="1"/>
  <c r="BH139" i="4"/>
  <c r="AD139" i="4" s="1"/>
  <c r="AW141" i="4"/>
  <c r="H141" i="4"/>
  <c r="BC158" i="4"/>
  <c r="AW168" i="4"/>
  <c r="H168" i="4"/>
  <c r="AU178" i="4"/>
  <c r="J102" i="4"/>
  <c r="L28" i="3" s="1"/>
  <c r="N28" i="3" s="1"/>
  <c r="I106" i="4"/>
  <c r="H107" i="4"/>
  <c r="I109" i="4"/>
  <c r="H110" i="4"/>
  <c r="I117" i="4"/>
  <c r="I120" i="4"/>
  <c r="H121" i="4"/>
  <c r="I134" i="4"/>
  <c r="H135" i="4"/>
  <c r="BI136" i="4"/>
  <c r="H138" i="4"/>
  <c r="BI139" i="4"/>
  <c r="AE139" i="4" s="1"/>
  <c r="BH140" i="4"/>
  <c r="AD140" i="4" s="1"/>
  <c r="H146" i="4"/>
  <c r="H147" i="4"/>
  <c r="AX160" i="4"/>
  <c r="BC164" i="4"/>
  <c r="H198" i="4"/>
  <c r="BH198" i="4"/>
  <c r="AD198" i="4" s="1"/>
  <c r="AW198" i="4"/>
  <c r="BC211" i="4"/>
  <c r="AW223" i="4"/>
  <c r="H223" i="4"/>
  <c r="BH223" i="4"/>
  <c r="AD223" i="4" s="1"/>
  <c r="H122" i="4"/>
  <c r="J131" i="4"/>
  <c r="L32" i="3" s="1"/>
  <c r="N32" i="3" s="1"/>
  <c r="I135" i="4"/>
  <c r="H136" i="4"/>
  <c r="I138" i="4"/>
  <c r="H139" i="4"/>
  <c r="AX141" i="4"/>
  <c r="I145" i="4"/>
  <c r="I146" i="4"/>
  <c r="I147" i="4"/>
  <c r="H150" i="4"/>
  <c r="BI152" i="4"/>
  <c r="AE152" i="4" s="1"/>
  <c r="AW153" i="4"/>
  <c r="AW156" i="4"/>
  <c r="H157" i="4"/>
  <c r="BH161" i="4"/>
  <c r="AD161" i="4" s="1"/>
  <c r="BI167" i="4"/>
  <c r="AE167" i="4" s="1"/>
  <c r="BC177" i="4"/>
  <c r="BC187" i="4"/>
  <c r="AV187" i="4"/>
  <c r="AW215" i="4"/>
  <c r="H215" i="4"/>
  <c r="BH215" i="4"/>
  <c r="AD215" i="4" s="1"/>
  <c r="AX144" i="4"/>
  <c r="BH148" i="4"/>
  <c r="I150" i="4"/>
  <c r="AW152" i="4"/>
  <c r="H152" i="4"/>
  <c r="AX159" i="4"/>
  <c r="I159" i="4"/>
  <c r="AX170" i="4"/>
  <c r="BC170" i="4" s="1"/>
  <c r="I170" i="4"/>
  <c r="AW171" i="4"/>
  <c r="H171" i="4"/>
  <c r="BC179" i="4"/>
  <c r="AV179" i="4"/>
  <c r="BH142" i="4"/>
  <c r="AD142" i="4" s="1"/>
  <c r="BC172" i="4"/>
  <c r="AV172" i="4"/>
  <c r="AL229" i="4"/>
  <c r="AU227" i="4" s="1"/>
  <c r="J227" i="4"/>
  <c r="L38" i="3" s="1"/>
  <c r="N38" i="3" s="1"/>
  <c r="AV244" i="4"/>
  <c r="BI166" i="4"/>
  <c r="AE166" i="4" s="1"/>
  <c r="BH167" i="4"/>
  <c r="AD167" i="4" s="1"/>
  <c r="BH170" i="4"/>
  <c r="AD170" i="4" s="1"/>
  <c r="BI177" i="4"/>
  <c r="AE177" i="4" s="1"/>
  <c r="BI180" i="4"/>
  <c r="AE180" i="4" s="1"/>
  <c r="BH181" i="4"/>
  <c r="AD181" i="4" s="1"/>
  <c r="BI188" i="4"/>
  <c r="AE188" i="4" s="1"/>
  <c r="BH189" i="4"/>
  <c r="AD189" i="4" s="1"/>
  <c r="AU194" i="4"/>
  <c r="AW207" i="4"/>
  <c r="H207" i="4"/>
  <c r="AX214" i="4"/>
  <c r="I214" i="4"/>
  <c r="AX222" i="4"/>
  <c r="I222" i="4"/>
  <c r="AV256" i="4"/>
  <c r="AX270" i="4"/>
  <c r="AV270" i="4" s="1"/>
  <c r="I270" i="4"/>
  <c r="BI270" i="4"/>
  <c r="AE270" i="4" s="1"/>
  <c r="I166" i="4"/>
  <c r="H167" i="4"/>
  <c r="BI168" i="4"/>
  <c r="H170" i="4"/>
  <c r="BI171" i="4"/>
  <c r="AE171" i="4" s="1"/>
  <c r="BH172" i="4"/>
  <c r="AD172" i="4" s="1"/>
  <c r="BC175" i="4"/>
  <c r="I177" i="4"/>
  <c r="I180" i="4"/>
  <c r="I178" i="4" s="1"/>
  <c r="K36" i="3" s="1"/>
  <c r="H181" i="4"/>
  <c r="H178" i="4" s="1"/>
  <c r="J36" i="3" s="1"/>
  <c r="BI182" i="4"/>
  <c r="AE182" i="4" s="1"/>
  <c r="BH183" i="4"/>
  <c r="AD183" i="4" s="1"/>
  <c r="BC186" i="4"/>
  <c r="I188" i="4"/>
  <c r="H189" i="4"/>
  <c r="AX190" i="4"/>
  <c r="AV190" i="4" s="1"/>
  <c r="AX283" i="4"/>
  <c r="AV283" i="4" s="1"/>
  <c r="I283" i="4"/>
  <c r="BI283" i="4"/>
  <c r="AE283" i="4" s="1"/>
  <c r="I190" i="4"/>
  <c r="BC193" i="4"/>
  <c r="AV195" i="4"/>
  <c r="AT194" i="4"/>
  <c r="BH203" i="4"/>
  <c r="AD203" i="4" s="1"/>
  <c r="AW239" i="4"/>
  <c r="H239" i="4"/>
  <c r="AU238" i="4"/>
  <c r="BC260" i="4"/>
  <c r="AV260" i="4"/>
  <c r="BC274" i="4"/>
  <c r="AV274" i="4"/>
  <c r="I168" i="4"/>
  <c r="I171" i="4"/>
  <c r="H172" i="4"/>
  <c r="J178" i="4"/>
  <c r="L36" i="3" s="1"/>
  <c r="N36" i="3" s="1"/>
  <c r="I182" i="4"/>
  <c r="H183" i="4"/>
  <c r="I198" i="4"/>
  <c r="BH199" i="4"/>
  <c r="AD199" i="4" s="1"/>
  <c r="AV200" i="4"/>
  <c r="BC200" i="4"/>
  <c r="BH201" i="4"/>
  <c r="AD201" i="4" s="1"/>
  <c r="AX202" i="4"/>
  <c r="BC204" i="4"/>
  <c r="AX205" i="4"/>
  <c r="AV205" i="4" s="1"/>
  <c r="I205" i="4"/>
  <c r="AV212" i="4"/>
  <c r="BI214" i="4"/>
  <c r="AE214" i="4" s="1"/>
  <c r="AV220" i="4"/>
  <c r="BI222" i="4"/>
  <c r="AE222" i="4" s="1"/>
  <c r="AV229" i="4"/>
  <c r="BC240" i="4"/>
  <c r="AV240" i="4"/>
  <c r="AV246" i="4"/>
  <c r="BC255" i="4"/>
  <c r="AV255" i="4"/>
  <c r="AV278" i="4"/>
  <c r="BC278" i="4"/>
  <c r="AX294" i="4"/>
  <c r="I294" i="4"/>
  <c r="BI294" i="4"/>
  <c r="AE294" i="4" s="1"/>
  <c r="BI163" i="4"/>
  <c r="AE163" i="4" s="1"/>
  <c r="BH164" i="4"/>
  <c r="AD164" i="4" s="1"/>
  <c r="BI174" i="4"/>
  <c r="AE174" i="4" s="1"/>
  <c r="BH175" i="4"/>
  <c r="AD175" i="4" s="1"/>
  <c r="BI185" i="4"/>
  <c r="AE185" i="4" s="1"/>
  <c r="BH186" i="4"/>
  <c r="AD186" i="4" s="1"/>
  <c r="BH207" i="4"/>
  <c r="AD207" i="4" s="1"/>
  <c r="AX213" i="4"/>
  <c r="AV213" i="4" s="1"/>
  <c r="I213" i="4"/>
  <c r="AX221" i="4"/>
  <c r="AV221" i="4" s="1"/>
  <c r="I221" i="4"/>
  <c r="BC228" i="4"/>
  <c r="AX246" i="4"/>
  <c r="BC246" i="4" s="1"/>
  <c r="I246" i="4"/>
  <c r="AW247" i="4"/>
  <c r="H247" i="4"/>
  <c r="BC258" i="4"/>
  <c r="AL313" i="4"/>
  <c r="AU310" i="4" s="1"/>
  <c r="J310" i="4"/>
  <c r="L45" i="3" s="1"/>
  <c r="N45" i="3" s="1"/>
  <c r="BC191" i="4"/>
  <c r="AV191" i="4"/>
  <c r="BC199" i="4"/>
  <c r="AW206" i="4"/>
  <c r="H206" i="4"/>
  <c r="AL232" i="4"/>
  <c r="AU231" i="4" s="1"/>
  <c r="J231" i="4"/>
  <c r="L39" i="3" s="1"/>
  <c r="N39" i="3" s="1"/>
  <c r="BC248" i="4"/>
  <c r="AV248" i="4"/>
  <c r="H252" i="4"/>
  <c r="AW252" i="4"/>
  <c r="BH252" i="4"/>
  <c r="AD252" i="4" s="1"/>
  <c r="AV303" i="4"/>
  <c r="J194" i="4"/>
  <c r="L37" i="3" s="1"/>
  <c r="N37" i="3" s="1"/>
  <c r="AX197" i="4"/>
  <c r="AV197" i="4" s="1"/>
  <c r="BI200" i="4"/>
  <c r="AE200" i="4" s="1"/>
  <c r="AW203" i="4"/>
  <c r="AX206" i="4"/>
  <c r="I206" i="4"/>
  <c r="BC209" i="4"/>
  <c r="AV210" i="4"/>
  <c r="AW214" i="4"/>
  <c r="H214" i="4"/>
  <c r="BC217" i="4"/>
  <c r="AV218" i="4"/>
  <c r="AW222" i="4"/>
  <c r="H222" i="4"/>
  <c r="BC225" i="4"/>
  <c r="BC230" i="4"/>
  <c r="AV230" i="4"/>
  <c r="BC234" i="4"/>
  <c r="AX235" i="4"/>
  <c r="AV235" i="4" s="1"/>
  <c r="I235" i="4"/>
  <c r="AW236" i="4"/>
  <c r="H236" i="4"/>
  <c r="BH239" i="4"/>
  <c r="AD239" i="4" s="1"/>
  <c r="BC253" i="4"/>
  <c r="AV253" i="4"/>
  <c r="BC259" i="4"/>
  <c r="AV259" i="4"/>
  <c r="AV287" i="4"/>
  <c r="BC287" i="4"/>
  <c r="BI192" i="4"/>
  <c r="AE192" i="4" s="1"/>
  <c r="BH193" i="4"/>
  <c r="BI195" i="4"/>
  <c r="AE195" i="4" s="1"/>
  <c r="BH197" i="4"/>
  <c r="AD197" i="4" s="1"/>
  <c r="BI204" i="4"/>
  <c r="AE204" i="4" s="1"/>
  <c r="BH205" i="4"/>
  <c r="AD205" i="4" s="1"/>
  <c r="BC208" i="4"/>
  <c r="I210" i="4"/>
  <c r="H211" i="4"/>
  <c r="BI212" i="4"/>
  <c r="AE212" i="4" s="1"/>
  <c r="BH213" i="4"/>
  <c r="AD213" i="4" s="1"/>
  <c r="BC216" i="4"/>
  <c r="I218" i="4"/>
  <c r="H219" i="4"/>
  <c r="BI220" i="4"/>
  <c r="AE220" i="4" s="1"/>
  <c r="BH221" i="4"/>
  <c r="AD221" i="4" s="1"/>
  <c r="BC224" i="4"/>
  <c r="I226" i="4"/>
  <c r="I229" i="4"/>
  <c r="H230" i="4"/>
  <c r="H227" i="4" s="1"/>
  <c r="J38" i="3" s="1"/>
  <c r="I232" i="4"/>
  <c r="H233" i="4"/>
  <c r="BI234" i="4"/>
  <c r="AE234" i="4" s="1"/>
  <c r="BH235" i="4"/>
  <c r="AD235" i="4" s="1"/>
  <c r="BC241" i="4"/>
  <c r="I243" i="4"/>
  <c r="H244" i="4"/>
  <c r="BI245" i="4"/>
  <c r="AE245" i="4" s="1"/>
  <c r="BH246" i="4"/>
  <c r="AD246" i="4" s="1"/>
  <c r="BH253" i="4"/>
  <c r="AD253" i="4" s="1"/>
  <c r="AW271" i="4"/>
  <c r="H271" i="4"/>
  <c r="BC273" i="4"/>
  <c r="AV273" i="4"/>
  <c r="BC276" i="4"/>
  <c r="AV276" i="4"/>
  <c r="BC277" i="4"/>
  <c r="BC283" i="4"/>
  <c r="AL319" i="4"/>
  <c r="J317" i="4"/>
  <c r="L46" i="3" s="1"/>
  <c r="N46" i="3" s="1"/>
  <c r="BC350" i="4"/>
  <c r="AV350" i="4"/>
  <c r="BI236" i="4"/>
  <c r="AE236" i="4" s="1"/>
  <c r="BH237" i="4"/>
  <c r="BI239" i="4"/>
  <c r="AE239" i="4" s="1"/>
  <c r="BH240" i="4"/>
  <c r="AD240" i="4" s="1"/>
  <c r="BI247" i="4"/>
  <c r="AE247" i="4" s="1"/>
  <c r="BH248" i="4"/>
  <c r="AD248" i="4" s="1"/>
  <c r="BC267" i="4"/>
  <c r="AV267" i="4"/>
  <c r="AW284" i="4"/>
  <c r="H284" i="4"/>
  <c r="AV286" i="4"/>
  <c r="BC286" i="4"/>
  <c r="BC294" i="4"/>
  <c r="BC318" i="4"/>
  <c r="AV318" i="4"/>
  <c r="AX325" i="4"/>
  <c r="I325" i="4"/>
  <c r="BI325" i="4"/>
  <c r="AE325" i="4" s="1"/>
  <c r="AV374" i="4"/>
  <c r="BC374" i="4"/>
  <c r="AW380" i="4"/>
  <c r="H380" i="4"/>
  <c r="BH380" i="4"/>
  <c r="AB380" i="4" s="1"/>
  <c r="BI199" i="4"/>
  <c r="AE199" i="4" s="1"/>
  <c r="BH200" i="4"/>
  <c r="AD200" i="4" s="1"/>
  <c r="BI207" i="4"/>
  <c r="AE207" i="4" s="1"/>
  <c r="BH208" i="4"/>
  <c r="AD208" i="4" s="1"/>
  <c r="BI215" i="4"/>
  <c r="AE215" i="4" s="1"/>
  <c r="BH216" i="4"/>
  <c r="AD216" i="4" s="1"/>
  <c r="BI223" i="4"/>
  <c r="AE223" i="4" s="1"/>
  <c r="BH224" i="4"/>
  <c r="AD224" i="4" s="1"/>
  <c r="BI249" i="4"/>
  <c r="AE249" i="4" s="1"/>
  <c r="BI250" i="4"/>
  <c r="AE250" i="4" s="1"/>
  <c r="H253" i="4"/>
  <c r="I254" i="4"/>
  <c r="AX254" i="4"/>
  <c r="AV254" i="4" s="1"/>
  <c r="AX258" i="4"/>
  <c r="AV258" i="4" s="1"/>
  <c r="BC279" i="4"/>
  <c r="BC285" i="4"/>
  <c r="AV285" i="4"/>
  <c r="AW295" i="4"/>
  <c r="H295" i="4"/>
  <c r="AV297" i="4"/>
  <c r="BC297" i="4"/>
  <c r="BI208" i="4"/>
  <c r="AE208" i="4" s="1"/>
  <c r="BH209" i="4"/>
  <c r="AD209" i="4" s="1"/>
  <c r="BI216" i="4"/>
  <c r="AE216" i="4" s="1"/>
  <c r="BH217" i="4"/>
  <c r="AD217" i="4" s="1"/>
  <c r="BI224" i="4"/>
  <c r="AE224" i="4" s="1"/>
  <c r="BH225" i="4"/>
  <c r="AD225" i="4" s="1"/>
  <c r="BH228" i="4"/>
  <c r="AD228" i="4" s="1"/>
  <c r="I236" i="4"/>
  <c r="H237" i="4"/>
  <c r="I239" i="4"/>
  <c r="H240" i="4"/>
  <c r="BI241" i="4"/>
  <c r="AE241" i="4" s="1"/>
  <c r="BH242" i="4"/>
  <c r="AD242" i="4" s="1"/>
  <c r="I247" i="4"/>
  <c r="H248" i="4"/>
  <c r="AV251" i="4"/>
  <c r="I252" i="4"/>
  <c r="AX291" i="4"/>
  <c r="AV291" i="4" s="1"/>
  <c r="I291" i="4"/>
  <c r="BC296" i="4"/>
  <c r="AV296" i="4"/>
  <c r="AL302" i="4"/>
  <c r="AU300" i="4" s="1"/>
  <c r="J300" i="4"/>
  <c r="L43" i="3" s="1"/>
  <c r="N43" i="3" s="1"/>
  <c r="J306" i="4"/>
  <c r="L44" i="3" s="1"/>
  <c r="N44" i="3" s="1"/>
  <c r="AL307" i="4"/>
  <c r="AU306" i="4" s="1"/>
  <c r="BH229" i="4"/>
  <c r="AD229" i="4" s="1"/>
  <c r="BH232" i="4"/>
  <c r="AD232" i="4" s="1"/>
  <c r="BI242" i="4"/>
  <c r="AE242" i="4" s="1"/>
  <c r="BH243" i="4"/>
  <c r="AD243" i="4" s="1"/>
  <c r="AV250" i="4"/>
  <c r="H251" i="4"/>
  <c r="AL258" i="4"/>
  <c r="AU257" i="4" s="1"/>
  <c r="J257" i="4"/>
  <c r="L41" i="3" s="1"/>
  <c r="N41" i="3" s="1"/>
  <c r="AX275" i="4"/>
  <c r="BC275" i="4" s="1"/>
  <c r="AX311" i="4"/>
  <c r="BI311" i="4"/>
  <c r="AE311" i="4" s="1"/>
  <c r="I311" i="4"/>
  <c r="AX323" i="4"/>
  <c r="AV323" i="4" s="1"/>
  <c r="BI323" i="4"/>
  <c r="AE323" i="4" s="1"/>
  <c r="I323" i="4"/>
  <c r="I249" i="4"/>
  <c r="BC249" i="4"/>
  <c r="AT257" i="4"/>
  <c r="AV261" i="4"/>
  <c r="AV262" i="4"/>
  <c r="BH271" i="4"/>
  <c r="AD271" i="4" s="1"/>
  <c r="AV272" i="4"/>
  <c r="BC281" i="4"/>
  <c r="AV281" i="4"/>
  <c r="BH284" i="4"/>
  <c r="AD284" i="4" s="1"/>
  <c r="AW292" i="4"/>
  <c r="H292" i="4"/>
  <c r="BC298" i="4"/>
  <c r="BC301" i="4"/>
  <c r="AX305" i="4"/>
  <c r="AV305" i="4" s="1"/>
  <c r="I305" i="4"/>
  <c r="I300" i="4" s="1"/>
  <c r="K43" i="3" s="1"/>
  <c r="BI305" i="4"/>
  <c r="H261" i="4"/>
  <c r="AX262" i="4"/>
  <c r="BC262" i="4" s="1"/>
  <c r="I262" i="4"/>
  <c r="AW263" i="4"/>
  <c r="H263" i="4"/>
  <c r="BC265" i="4"/>
  <c r="AV265" i="4"/>
  <c r="AW268" i="4"/>
  <c r="BC269" i="4"/>
  <c r="BC289" i="4"/>
  <c r="AV289" i="4"/>
  <c r="BH295" i="4"/>
  <c r="AD295" i="4" s="1"/>
  <c r="AV355" i="4"/>
  <c r="BC355" i="4"/>
  <c r="BI266" i="4"/>
  <c r="AE266" i="4" s="1"/>
  <c r="BH267" i="4"/>
  <c r="AD267" i="4" s="1"/>
  <c r="BI274" i="4"/>
  <c r="AE274" i="4" s="1"/>
  <c r="BH275" i="4"/>
  <c r="AD275" i="4" s="1"/>
  <c r="BI282" i="4"/>
  <c r="AE282" i="4" s="1"/>
  <c r="BH283" i="4"/>
  <c r="AD283" i="4" s="1"/>
  <c r="BI316" i="4"/>
  <c r="AV325" i="4"/>
  <c r="BC325" i="4"/>
  <c r="AL336" i="4"/>
  <c r="AU335" i="4" s="1"/>
  <c r="J335" i="4"/>
  <c r="L50" i="3" s="1"/>
  <c r="N50" i="3" s="1"/>
  <c r="BC343" i="4"/>
  <c r="AV343" i="4"/>
  <c r="H356" i="4"/>
  <c r="H353" i="4" s="1"/>
  <c r="J54" i="3" s="1"/>
  <c r="AW356" i="4"/>
  <c r="BI268" i="4"/>
  <c r="AE268" i="4" s="1"/>
  <c r="BH269" i="4"/>
  <c r="AD269" i="4" s="1"/>
  <c r="BI276" i="4"/>
  <c r="AE276" i="4" s="1"/>
  <c r="BH277" i="4"/>
  <c r="AD277" i="4" s="1"/>
  <c r="BI284" i="4"/>
  <c r="AE284" i="4" s="1"/>
  <c r="BH285" i="4"/>
  <c r="AD285" i="4" s="1"/>
  <c r="BI292" i="4"/>
  <c r="BI295" i="4"/>
  <c r="AE295" i="4" s="1"/>
  <c r="BH296" i="4"/>
  <c r="AD296" i="4" s="1"/>
  <c r="AW312" i="4"/>
  <c r="H312" i="4"/>
  <c r="AL322" i="4"/>
  <c r="AU321" i="4" s="1"/>
  <c r="J321" i="4"/>
  <c r="L47" i="3" s="1"/>
  <c r="N47" i="3" s="1"/>
  <c r="BC340" i="4"/>
  <c r="AV340" i="4"/>
  <c r="BC345" i="4"/>
  <c r="AW346" i="4"/>
  <c r="H346" i="4"/>
  <c r="H342" i="4" s="1"/>
  <c r="J52" i="3" s="1"/>
  <c r="AV421" i="4"/>
  <c r="BC421" i="4"/>
  <c r="BI261" i="4"/>
  <c r="AE261" i="4" s="1"/>
  <c r="BH262" i="4"/>
  <c r="AD262" i="4" s="1"/>
  <c r="BI269" i="4"/>
  <c r="AE269" i="4" s="1"/>
  <c r="BH270" i="4"/>
  <c r="AD270" i="4" s="1"/>
  <c r="BI277" i="4"/>
  <c r="AE277" i="4" s="1"/>
  <c r="BH278" i="4"/>
  <c r="AD278" i="4" s="1"/>
  <c r="BI285" i="4"/>
  <c r="AE285" i="4" s="1"/>
  <c r="BH286" i="4"/>
  <c r="AD286" i="4" s="1"/>
  <c r="BI296" i="4"/>
  <c r="AE296" i="4" s="1"/>
  <c r="BH297" i="4"/>
  <c r="AD297" i="4" s="1"/>
  <c r="AS337" i="4"/>
  <c r="AV344" i="4"/>
  <c r="AX345" i="4"/>
  <c r="AV345" i="4" s="1"/>
  <c r="I345" i="4"/>
  <c r="AV351" i="4"/>
  <c r="BC351" i="4"/>
  <c r="AV357" i="4"/>
  <c r="BC369" i="4"/>
  <c r="AV369" i="4"/>
  <c r="BC419" i="4"/>
  <c r="AV419" i="4"/>
  <c r="BI278" i="4"/>
  <c r="AE278" i="4" s="1"/>
  <c r="BH279" i="4"/>
  <c r="AD279" i="4" s="1"/>
  <c r="BI286" i="4"/>
  <c r="AE286" i="4" s="1"/>
  <c r="BH287" i="4"/>
  <c r="AD287" i="4" s="1"/>
  <c r="BI297" i="4"/>
  <c r="AE297" i="4" s="1"/>
  <c r="BH298" i="4"/>
  <c r="AD298" i="4" s="1"/>
  <c r="BH301" i="4"/>
  <c r="AD301" i="4" s="1"/>
  <c r="BH307" i="4"/>
  <c r="AD307" i="4" s="1"/>
  <c r="I342" i="4"/>
  <c r="K52" i="3" s="1"/>
  <c r="BC413" i="4"/>
  <c r="AV413" i="4"/>
  <c r="I261" i="4"/>
  <c r="H262" i="4"/>
  <c r="BI263" i="4"/>
  <c r="AE263" i="4" s="1"/>
  <c r="BH264" i="4"/>
  <c r="AD264" i="4" s="1"/>
  <c r="I269" i="4"/>
  <c r="H270" i="4"/>
  <c r="BI271" i="4"/>
  <c r="AE271" i="4" s="1"/>
  <c r="I277" i="4"/>
  <c r="H278" i="4"/>
  <c r="I285" i="4"/>
  <c r="H286" i="4"/>
  <c r="I296" i="4"/>
  <c r="H297" i="4"/>
  <c r="AX316" i="4"/>
  <c r="AV316" i="4" s="1"/>
  <c r="BI320" i="4"/>
  <c r="AE320" i="4" s="1"/>
  <c r="BH323" i="4"/>
  <c r="AD323" i="4" s="1"/>
  <c r="J331" i="4"/>
  <c r="L49" i="3" s="1"/>
  <c r="N49" i="3" s="1"/>
  <c r="AV341" i="4"/>
  <c r="AU342" i="4"/>
  <c r="BC347" i="4"/>
  <c r="AV347" i="4"/>
  <c r="BC360" i="4"/>
  <c r="AV360" i="4"/>
  <c r="AX361" i="4"/>
  <c r="AV361" i="4" s="1"/>
  <c r="I361" i="4"/>
  <c r="BI361" i="4"/>
  <c r="AC361" i="4" s="1"/>
  <c r="AW405" i="4"/>
  <c r="H405" i="4"/>
  <c r="BH405" i="4"/>
  <c r="I278" i="4"/>
  <c r="H279" i="4"/>
  <c r="I286" i="4"/>
  <c r="H287" i="4"/>
  <c r="J293" i="4"/>
  <c r="L42" i="3" s="1"/>
  <c r="N42" i="3" s="1"/>
  <c r="I297" i="4"/>
  <c r="H298" i="4"/>
  <c r="H301" i="4"/>
  <c r="H300" i="4" s="1"/>
  <c r="J43" i="3" s="1"/>
  <c r="BH309" i="4"/>
  <c r="AT310" i="4"/>
  <c r="BC314" i="4"/>
  <c r="AV314" i="4"/>
  <c r="AX319" i="4"/>
  <c r="BC319" i="4" s="1"/>
  <c r="AV322" i="4"/>
  <c r="AS321" i="4"/>
  <c r="AS331" i="4"/>
  <c r="BC334" i="4"/>
  <c r="AV334" i="4"/>
  <c r="BI345" i="4"/>
  <c r="AC345" i="4" s="1"/>
  <c r="BH346" i="4"/>
  <c r="AB346" i="4" s="1"/>
  <c r="AW349" i="4"/>
  <c r="H349" i="4"/>
  <c r="H348" i="4" s="1"/>
  <c r="J53" i="3" s="1"/>
  <c r="AS348" i="4"/>
  <c r="I360" i="4"/>
  <c r="AX360" i="4"/>
  <c r="AX362" i="4"/>
  <c r="BI362" i="4"/>
  <c r="AC362" i="4" s="1"/>
  <c r="I362" i="4"/>
  <c r="I364" i="4"/>
  <c r="BI364" i="4"/>
  <c r="AC364" i="4" s="1"/>
  <c r="AX364" i="4"/>
  <c r="BC417" i="4"/>
  <c r="AV417" i="4"/>
  <c r="H307" i="4"/>
  <c r="H306" i="4" s="1"/>
  <c r="J44" i="3" s="1"/>
  <c r="I308" i="4"/>
  <c r="I306" i="4" s="1"/>
  <c r="K44" i="3" s="1"/>
  <c r="BH312" i="4"/>
  <c r="AD312" i="4" s="1"/>
  <c r="AU317" i="4"/>
  <c r="AU331" i="4"/>
  <c r="AW372" i="4"/>
  <c r="H372" i="4"/>
  <c r="BH372" i="4"/>
  <c r="AB372" i="4" s="1"/>
  <c r="AX309" i="4"/>
  <c r="AX312" i="4"/>
  <c r="I313" i="4"/>
  <c r="AW313" i="4"/>
  <c r="H314" i="4"/>
  <c r="BI315" i="4"/>
  <c r="AE315" i="4" s="1"/>
  <c r="BH316" i="4"/>
  <c r="BI318" i="4"/>
  <c r="AE318" i="4" s="1"/>
  <c r="BH319" i="4"/>
  <c r="AD319" i="4" s="1"/>
  <c r="BH322" i="4"/>
  <c r="AD322" i="4" s="1"/>
  <c r="AX326" i="4"/>
  <c r="BC326" i="4" s="1"/>
  <c r="AW327" i="4"/>
  <c r="AX329" i="4"/>
  <c r="AV329" i="4" s="1"/>
  <c r="AW330" i="4"/>
  <c r="AX332" i="4"/>
  <c r="BC332" i="4" s="1"/>
  <c r="AW333" i="4"/>
  <c r="AW336" i="4"/>
  <c r="AX338" i="4"/>
  <c r="BC338" i="4" s="1"/>
  <c r="AW339" i="4"/>
  <c r="BI341" i="4"/>
  <c r="AC341" i="4" s="1"/>
  <c r="BI344" i="4"/>
  <c r="AC344" i="4" s="1"/>
  <c r="BH345" i="4"/>
  <c r="AB345" i="4" s="1"/>
  <c r="AL349" i="4"/>
  <c r="AU348" i="4" s="1"/>
  <c r="AX352" i="4"/>
  <c r="BC352" i="4" s="1"/>
  <c r="BI357" i="4"/>
  <c r="AC357" i="4" s="1"/>
  <c r="BH360" i="4"/>
  <c r="AB360" i="4" s="1"/>
  <c r="AW364" i="4"/>
  <c r="H364" i="4"/>
  <c r="AV365" i="4"/>
  <c r="BC371" i="4"/>
  <c r="AV376" i="4"/>
  <c r="AV382" i="4"/>
  <c r="AV383" i="4"/>
  <c r="AW389" i="4"/>
  <c r="H389" i="4"/>
  <c r="I394" i="4"/>
  <c r="BI394" i="4"/>
  <c r="AC394" i="4" s="1"/>
  <c r="AX396" i="4"/>
  <c r="I396" i="4"/>
  <c r="BI346" i="4"/>
  <c r="AC346" i="4" s="1"/>
  <c r="BH347" i="4"/>
  <c r="AB347" i="4" s="1"/>
  <c r="BI349" i="4"/>
  <c r="AC349" i="4" s="1"/>
  <c r="BH350" i="4"/>
  <c r="AB350" i="4" s="1"/>
  <c r="BI356" i="4"/>
  <c r="AC356" i="4" s="1"/>
  <c r="BC358" i="4"/>
  <c r="AX380" i="4"/>
  <c r="I380" i="4"/>
  <c r="BC393" i="4"/>
  <c r="H395" i="4"/>
  <c r="AV409" i="4"/>
  <c r="AV412" i="4"/>
  <c r="I413" i="4"/>
  <c r="I415" i="4"/>
  <c r="I414" i="4" s="1"/>
  <c r="K60" i="3" s="1"/>
  <c r="I417" i="4"/>
  <c r="I416" i="4" s="1"/>
  <c r="K61" i="3" s="1"/>
  <c r="I419" i="4"/>
  <c r="BI324" i="4"/>
  <c r="AE324" i="4" s="1"/>
  <c r="BH325" i="4"/>
  <c r="AD325" i="4" s="1"/>
  <c r="BI350" i="4"/>
  <c r="AC350" i="4" s="1"/>
  <c r="BI355" i="4"/>
  <c r="AC355" i="4" s="1"/>
  <c r="I358" i="4"/>
  <c r="H361" i="4"/>
  <c r="AW362" i="4"/>
  <c r="AS366" i="4"/>
  <c r="BH371" i="4"/>
  <c r="AB371" i="4" s="1"/>
  <c r="AX372" i="4"/>
  <c r="AV377" i="4"/>
  <c r="BC383" i="4"/>
  <c r="AV384" i="4"/>
  <c r="AX387" i="4"/>
  <c r="BC387" i="4" s="1"/>
  <c r="I387" i="4"/>
  <c r="AV390" i="4"/>
  <c r="AW397" i="4"/>
  <c r="H397" i="4"/>
  <c r="AV400" i="4"/>
  <c r="BC402" i="4"/>
  <c r="AW420" i="4"/>
  <c r="H420" i="4"/>
  <c r="H418" i="4" s="1"/>
  <c r="J62" i="3" s="1"/>
  <c r="BH326" i="4"/>
  <c r="AD326" i="4" s="1"/>
  <c r="BH329" i="4"/>
  <c r="AD329" i="4" s="1"/>
  <c r="BH332" i="4"/>
  <c r="AD332" i="4" s="1"/>
  <c r="BH338" i="4"/>
  <c r="AB338" i="4" s="1"/>
  <c r="BI351" i="4"/>
  <c r="AC351" i="4" s="1"/>
  <c r="BH352" i="4"/>
  <c r="AB352" i="4" s="1"/>
  <c r="AT366" i="4"/>
  <c r="AX403" i="4"/>
  <c r="AV403" i="4" s="1"/>
  <c r="I403" i="4"/>
  <c r="AV406" i="4"/>
  <c r="BI413" i="4"/>
  <c r="BI415" i="4"/>
  <c r="BI417" i="4"/>
  <c r="BI419" i="4"/>
  <c r="AX420" i="4"/>
  <c r="I420" i="4"/>
  <c r="BI309" i="4"/>
  <c r="BI312" i="4"/>
  <c r="AE312" i="4" s="1"/>
  <c r="BH313" i="4"/>
  <c r="AD313" i="4" s="1"/>
  <c r="BI329" i="4"/>
  <c r="AE329" i="4" s="1"/>
  <c r="BH330" i="4"/>
  <c r="AX356" i="4"/>
  <c r="AW381" i="4"/>
  <c r="H381" i="4"/>
  <c r="AW388" i="4"/>
  <c r="H388" i="4"/>
  <c r="AX395" i="4"/>
  <c r="AV395" i="4" s="1"/>
  <c r="I395" i="4"/>
  <c r="AV407" i="4"/>
  <c r="AL412" i="4"/>
  <c r="AU411" i="4" s="1"/>
  <c r="J411" i="4"/>
  <c r="H326" i="4"/>
  <c r="H321" i="4" s="1"/>
  <c r="J47" i="3" s="1"/>
  <c r="H329" i="4"/>
  <c r="H328" i="4" s="1"/>
  <c r="J48" i="3" s="1"/>
  <c r="H332" i="4"/>
  <c r="H331" i="4" s="1"/>
  <c r="J49" i="3" s="1"/>
  <c r="H338" i="4"/>
  <c r="H337" i="4" s="1"/>
  <c r="J51" i="3" s="1"/>
  <c r="I351" i="4"/>
  <c r="H352" i="4"/>
  <c r="I354" i="4"/>
  <c r="I355" i="4"/>
  <c r="BH364" i="4"/>
  <c r="AB364" i="4" s="1"/>
  <c r="AX371" i="4"/>
  <c r="AV371" i="4" s="1"/>
  <c r="I371" i="4"/>
  <c r="AW373" i="4"/>
  <c r="H373" i="4"/>
  <c r="BC379" i="4"/>
  <c r="BI380" i="4"/>
  <c r="AC380" i="4" s="1"/>
  <c r="AV385" i="4"/>
  <c r="AX388" i="4"/>
  <c r="I388" i="4"/>
  <c r="BC391" i="4"/>
  <c r="AV392" i="4"/>
  <c r="AV398" i="4"/>
  <c r="AV399" i="4"/>
  <c r="AV401" i="4"/>
  <c r="AW404" i="4"/>
  <c r="H404" i="4"/>
  <c r="BC406" i="4"/>
  <c r="AX354" i="4"/>
  <c r="AL360" i="4"/>
  <c r="AU359" i="4" s="1"/>
  <c r="J359" i="4"/>
  <c r="L55" i="3" s="1"/>
  <c r="N55" i="3" s="1"/>
  <c r="AX363" i="4"/>
  <c r="I363" i="4"/>
  <c r="BI372" i="4"/>
  <c r="AC372" i="4" s="1"/>
  <c r="AX379" i="4"/>
  <c r="AV379" i="4" s="1"/>
  <c r="I379" i="4"/>
  <c r="H387" i="4"/>
  <c r="BH387" i="4"/>
  <c r="AW396" i="4"/>
  <c r="H396" i="4"/>
  <c r="AX404" i="4"/>
  <c r="I404" i="4"/>
  <c r="BH363" i="4"/>
  <c r="AB363" i="4" s="1"/>
  <c r="BI373" i="4"/>
  <c r="AC373" i="4" s="1"/>
  <c r="BH374" i="4"/>
  <c r="AB374" i="4" s="1"/>
  <c r="BI381" i="4"/>
  <c r="AC381" i="4" s="1"/>
  <c r="BH382" i="4"/>
  <c r="BI389" i="4"/>
  <c r="BH390" i="4"/>
  <c r="AB390" i="4" s="1"/>
  <c r="BI397" i="4"/>
  <c r="AC397" i="4" s="1"/>
  <c r="BH398" i="4"/>
  <c r="BI405" i="4"/>
  <c r="BH406" i="4"/>
  <c r="BH409" i="4"/>
  <c r="AF409" i="4" s="1"/>
  <c r="C18" i="1" s="1"/>
  <c r="BH421" i="4"/>
  <c r="BH367" i="4"/>
  <c r="AB367" i="4" s="1"/>
  <c r="BI374" i="4"/>
  <c r="AC374" i="4" s="1"/>
  <c r="BH375" i="4"/>
  <c r="AB375" i="4" s="1"/>
  <c r="BI382" i="4"/>
  <c r="BH383" i="4"/>
  <c r="AB383" i="4" s="1"/>
  <c r="BI390" i="4"/>
  <c r="AC390" i="4" s="1"/>
  <c r="BH391" i="4"/>
  <c r="AB391" i="4" s="1"/>
  <c r="BI398" i="4"/>
  <c r="BH399" i="4"/>
  <c r="AB399" i="4" s="1"/>
  <c r="BI406" i="4"/>
  <c r="BH407" i="4"/>
  <c r="BI409" i="4"/>
  <c r="AG409" i="4" s="1"/>
  <c r="C19" i="1" s="1"/>
  <c r="BI421" i="4"/>
  <c r="BI375" i="4"/>
  <c r="AC375" i="4" s="1"/>
  <c r="BH376" i="4"/>
  <c r="BI383" i="4"/>
  <c r="AC383" i="4" s="1"/>
  <c r="BH384" i="4"/>
  <c r="AB384" i="4" s="1"/>
  <c r="BI391" i="4"/>
  <c r="AC391" i="4" s="1"/>
  <c r="BH392" i="4"/>
  <c r="AB392" i="4" s="1"/>
  <c r="BI399" i="4"/>
  <c r="AC399" i="4" s="1"/>
  <c r="BH400" i="4"/>
  <c r="BI407" i="4"/>
  <c r="BH412" i="4"/>
  <c r="I382" i="4"/>
  <c r="H383" i="4"/>
  <c r="I390" i="4"/>
  <c r="H391" i="4"/>
  <c r="I398" i="4"/>
  <c r="H399" i="4"/>
  <c r="I406" i="4"/>
  <c r="H407" i="4"/>
  <c r="I409" i="4"/>
  <c r="I408" i="4" s="1"/>
  <c r="K57" i="3" s="1"/>
  <c r="I366" i="4" l="1"/>
  <c r="K56" i="3" s="1"/>
  <c r="AV387" i="4"/>
  <c r="BC308" i="4"/>
  <c r="I194" i="4"/>
  <c r="K37" i="3" s="1"/>
  <c r="H13" i="4"/>
  <c r="BC280" i="4"/>
  <c r="BC201" i="4"/>
  <c r="AV51" i="4"/>
  <c r="BC51" i="4"/>
  <c r="C17" i="1"/>
  <c r="I321" i="4"/>
  <c r="K47" i="3" s="1"/>
  <c r="AV219" i="4"/>
  <c r="AV114" i="4"/>
  <c r="I24" i="4"/>
  <c r="K15" i="3" s="1"/>
  <c r="AV61" i="4"/>
  <c r="AV89" i="4"/>
  <c r="AV26" i="4"/>
  <c r="BC184" i="4"/>
  <c r="AV46" i="4"/>
  <c r="BC46" i="4"/>
  <c r="H359" i="4"/>
  <c r="J55" i="3" s="1"/>
  <c r="BC311" i="4"/>
  <c r="BC316" i="4"/>
  <c r="BC378" i="4"/>
  <c r="AV319" i="4"/>
  <c r="H310" i="4"/>
  <c r="J45" i="3" s="1"/>
  <c r="BC254" i="4"/>
  <c r="I13" i="4"/>
  <c r="BC70" i="4"/>
  <c r="AV307" i="4"/>
  <c r="AV185" i="4"/>
  <c r="BC185" i="4"/>
  <c r="BC190" i="4"/>
  <c r="AV140" i="4"/>
  <c r="BC140" i="4"/>
  <c r="AV16" i="4"/>
  <c r="BC16" i="4"/>
  <c r="AV112" i="4"/>
  <c r="H257" i="4"/>
  <c r="J41" i="3" s="1"/>
  <c r="H366" i="4"/>
  <c r="J56" i="3" s="1"/>
  <c r="I257" i="4"/>
  <c r="K41" i="3" s="1"/>
  <c r="AV320" i="4"/>
  <c r="BC270" i="4"/>
  <c r="AV233" i="4"/>
  <c r="I125" i="4"/>
  <c r="K31" i="3" s="1"/>
  <c r="BC105" i="4"/>
  <c r="H50" i="4"/>
  <c r="J22" i="3" s="1"/>
  <c r="AV67" i="4"/>
  <c r="AV65" i="4"/>
  <c r="AV56" i="4"/>
  <c r="BC315" i="4"/>
  <c r="AV315" i="4"/>
  <c r="AV111" i="4"/>
  <c r="I227" i="4"/>
  <c r="K38" i="3" s="1"/>
  <c r="AV294" i="4"/>
  <c r="AV170" i="4"/>
  <c r="BC370" i="4"/>
  <c r="AV370" i="4"/>
  <c r="AV85" i="4"/>
  <c r="AV304" i="4"/>
  <c r="BC304" i="4"/>
  <c r="BC266" i="4"/>
  <c r="AV266" i="4"/>
  <c r="BC165" i="4"/>
  <c r="AV165" i="4"/>
  <c r="H194" i="4"/>
  <c r="J37" i="3" s="1"/>
  <c r="AV375" i="4"/>
  <c r="BC376" i="4"/>
  <c r="BC302" i="4"/>
  <c r="AV232" i="4"/>
  <c r="AV45" i="4"/>
  <c r="BC45" i="4"/>
  <c r="BC64" i="4"/>
  <c r="I149" i="4"/>
  <c r="K34" i="3" s="1"/>
  <c r="BC394" i="4"/>
  <c r="AV394" i="4"/>
  <c r="BC162" i="4"/>
  <c r="AV162" i="4"/>
  <c r="BC188" i="4"/>
  <c r="AV188" i="4"/>
  <c r="BC226" i="4"/>
  <c r="AV73" i="4"/>
  <c r="BC73" i="4"/>
  <c r="BC395" i="4"/>
  <c r="BC329" i="4"/>
  <c r="H131" i="4"/>
  <c r="J32" i="3" s="1"/>
  <c r="H118" i="4"/>
  <c r="J30" i="3" s="1"/>
  <c r="I102" i="4"/>
  <c r="K28" i="3" s="1"/>
  <c r="AV299" i="4"/>
  <c r="BC288" i="4"/>
  <c r="AV368" i="4"/>
  <c r="BC368" i="4"/>
  <c r="BC39" i="4"/>
  <c r="BC66" i="4"/>
  <c r="AV66" i="4"/>
  <c r="C16" i="1"/>
  <c r="BC404" i="4"/>
  <c r="AV404" i="4"/>
  <c r="BC28" i="4"/>
  <c r="AV28" i="4"/>
  <c r="BC57" i="4"/>
  <c r="AV57" i="4"/>
  <c r="BC381" i="4"/>
  <c r="AV381" i="4"/>
  <c r="BC129" i="4"/>
  <c r="AV129" i="4"/>
  <c r="BC420" i="4"/>
  <c r="AV420" i="4"/>
  <c r="BC373" i="4"/>
  <c r="AV373" i="4"/>
  <c r="BC388" i="4"/>
  <c r="AV388" i="4"/>
  <c r="AV364" i="4"/>
  <c r="BC364" i="4"/>
  <c r="AV339" i="4"/>
  <c r="BC339" i="4"/>
  <c r="I359" i="4"/>
  <c r="K55" i="3" s="1"/>
  <c r="AV338" i="4"/>
  <c r="BC361" i="4"/>
  <c r="AV352" i="4"/>
  <c r="BC323" i="4"/>
  <c r="AV326" i="4"/>
  <c r="BC291" i="4"/>
  <c r="BC295" i="4"/>
  <c r="AV295" i="4"/>
  <c r="AV271" i="4"/>
  <c r="BC271" i="4"/>
  <c r="BC235" i="4"/>
  <c r="BC197" i="4"/>
  <c r="BC205" i="4"/>
  <c r="AV152" i="4"/>
  <c r="BC152" i="4"/>
  <c r="AV153" i="4"/>
  <c r="BC153" i="4"/>
  <c r="I137" i="4"/>
  <c r="K33" i="3" s="1"/>
  <c r="AV160" i="4"/>
  <c r="BC160" i="4"/>
  <c r="I131" i="4"/>
  <c r="K32" i="3" s="1"/>
  <c r="BC101" i="4"/>
  <c r="AV101" i="4"/>
  <c r="BC151" i="4"/>
  <c r="AV151" i="4"/>
  <c r="AV96" i="4"/>
  <c r="BC96" i="4"/>
  <c r="BC130" i="4"/>
  <c r="C29" i="1"/>
  <c r="F29" i="1" s="1"/>
  <c r="BC30" i="4"/>
  <c r="AV336" i="4"/>
  <c r="BC336" i="4"/>
  <c r="BC145" i="4"/>
  <c r="AV145" i="4"/>
  <c r="H108" i="4"/>
  <c r="J29" i="3" s="1"/>
  <c r="BC117" i="4"/>
  <c r="AV117" i="4"/>
  <c r="BC14" i="4"/>
  <c r="AV14" i="4"/>
  <c r="BC78" i="4"/>
  <c r="BC356" i="4"/>
  <c r="AV356" i="4"/>
  <c r="K59" i="3"/>
  <c r="J410" i="4"/>
  <c r="L58" i="3" s="1"/>
  <c r="P58" i="3" s="1"/>
  <c r="L59" i="3"/>
  <c r="N59" i="3" s="1"/>
  <c r="H149" i="4"/>
  <c r="J34" i="3" s="1"/>
  <c r="AV142" i="4"/>
  <c r="BC142" i="4"/>
  <c r="J422" i="4"/>
  <c r="L13" i="3"/>
  <c r="N13" i="3" s="1"/>
  <c r="J12" i="4"/>
  <c r="L12" i="3" s="1"/>
  <c r="P12" i="3" s="1"/>
  <c r="BC396" i="4"/>
  <c r="AV396" i="4"/>
  <c r="AV363" i="4"/>
  <c r="BC363" i="4"/>
  <c r="I353" i="4"/>
  <c r="K54" i="3" s="1"/>
  <c r="I418" i="4"/>
  <c r="K62" i="3" s="1"/>
  <c r="AV333" i="4"/>
  <c r="BC333" i="4"/>
  <c r="BC309" i="4"/>
  <c r="AV309" i="4"/>
  <c r="BC349" i="4"/>
  <c r="AV349" i="4"/>
  <c r="I238" i="4"/>
  <c r="K40" i="3" s="1"/>
  <c r="BC284" i="4"/>
  <c r="AV284" i="4"/>
  <c r="H231" i="4"/>
  <c r="J39" i="3" s="1"/>
  <c r="BC222" i="4"/>
  <c r="AV222" i="4"/>
  <c r="AV252" i="4"/>
  <c r="BC252" i="4"/>
  <c r="I169" i="4"/>
  <c r="K35" i="3" s="1"/>
  <c r="BC144" i="4"/>
  <c r="AV144" i="4"/>
  <c r="H137" i="4"/>
  <c r="J33" i="3" s="1"/>
  <c r="I108" i="4"/>
  <c r="K29" i="3" s="1"/>
  <c r="BC134" i="4"/>
  <c r="AV134" i="4"/>
  <c r="H93" i="4"/>
  <c r="J27" i="3" s="1"/>
  <c r="K13" i="3"/>
  <c r="BC109" i="4"/>
  <c r="AV109" i="4"/>
  <c r="AV141" i="4"/>
  <c r="BC141" i="4"/>
  <c r="BC120" i="4"/>
  <c r="AV120" i="4"/>
  <c r="BC171" i="4"/>
  <c r="AV171" i="4"/>
  <c r="AV198" i="4"/>
  <c r="BC198" i="4"/>
  <c r="BC362" i="4"/>
  <c r="AV362" i="4"/>
  <c r="H410" i="4"/>
  <c r="J58" i="3" s="1"/>
  <c r="BC405" i="4"/>
  <c r="AV405" i="4"/>
  <c r="AV275" i="4"/>
  <c r="I231" i="4"/>
  <c r="K39" i="3" s="1"/>
  <c r="BC203" i="4"/>
  <c r="AV203" i="4"/>
  <c r="BC206" i="4"/>
  <c r="AV206" i="4"/>
  <c r="BC247" i="4"/>
  <c r="AV247" i="4"/>
  <c r="H238" i="4"/>
  <c r="J40" i="3" s="1"/>
  <c r="BC182" i="4"/>
  <c r="AV182" i="4"/>
  <c r="AV95" i="4"/>
  <c r="H38" i="4"/>
  <c r="J20" i="3" s="1"/>
  <c r="BC403" i="4"/>
  <c r="AV330" i="4"/>
  <c r="BC330" i="4"/>
  <c r="AV312" i="4"/>
  <c r="BC312" i="4"/>
  <c r="AV263" i="4"/>
  <c r="BC263" i="4"/>
  <c r="I310" i="4"/>
  <c r="K45" i="3" s="1"/>
  <c r="BC213" i="4"/>
  <c r="BC239" i="4"/>
  <c r="AV239" i="4"/>
  <c r="BC207" i="4"/>
  <c r="AV207" i="4"/>
  <c r="BC115" i="4"/>
  <c r="AV115" i="4"/>
  <c r="BC104" i="4"/>
  <c r="AV104" i="4"/>
  <c r="I118" i="4"/>
  <c r="K30" i="3" s="1"/>
  <c r="AV128" i="4"/>
  <c r="C15" i="1"/>
  <c r="BC68" i="4"/>
  <c r="AV68" i="4"/>
  <c r="I29" i="4"/>
  <c r="K16" i="3" s="1"/>
  <c r="I69" i="4"/>
  <c r="K24" i="3" s="1"/>
  <c r="BC43" i="4"/>
  <c r="AV43" i="4"/>
  <c r="I93" i="4"/>
  <c r="K27" i="3" s="1"/>
  <c r="AV202" i="4"/>
  <c r="BC202" i="4"/>
  <c r="AV354" i="4"/>
  <c r="BC354" i="4"/>
  <c r="BC380" i="4"/>
  <c r="AV380" i="4"/>
  <c r="I293" i="4"/>
  <c r="K42" i="3" s="1"/>
  <c r="AV159" i="4"/>
  <c r="BC159" i="4"/>
  <c r="BC215" i="4"/>
  <c r="AV215" i="4"/>
  <c r="BC168" i="4"/>
  <c r="AV168" i="4"/>
  <c r="BC106" i="4"/>
  <c r="AV106" i="4"/>
  <c r="BC91" i="4"/>
  <c r="BC71" i="4"/>
  <c r="AV71" i="4"/>
  <c r="C14" i="1"/>
  <c r="AV42" i="4"/>
  <c r="BC31" i="4"/>
  <c r="AV31" i="4"/>
  <c r="BC397" i="4"/>
  <c r="AV397" i="4"/>
  <c r="BC389" i="4"/>
  <c r="AV389" i="4"/>
  <c r="BC268" i="4"/>
  <c r="AV268" i="4"/>
  <c r="BC236" i="4"/>
  <c r="AV236" i="4"/>
  <c r="BC100" i="4"/>
  <c r="AV100" i="4"/>
  <c r="J13" i="3"/>
  <c r="BC346" i="4"/>
  <c r="AV346" i="4"/>
  <c r="BC221" i="4"/>
  <c r="AV327" i="4"/>
  <c r="BC327" i="4"/>
  <c r="AV313" i="4"/>
  <c r="BC313" i="4"/>
  <c r="BC372" i="4"/>
  <c r="AV372" i="4"/>
  <c r="AV332" i="4"/>
  <c r="BC292" i="4"/>
  <c r="AV292" i="4"/>
  <c r="H293" i="4"/>
  <c r="J42" i="3" s="1"/>
  <c r="BC214" i="4"/>
  <c r="AV214" i="4"/>
  <c r="H169" i="4"/>
  <c r="J35" i="3" s="1"/>
  <c r="AV156" i="4"/>
  <c r="BC156" i="4"/>
  <c r="BC223" i="4"/>
  <c r="AV223" i="4"/>
  <c r="BC132" i="4"/>
  <c r="AV132" i="4"/>
  <c r="AV148" i="4"/>
  <c r="L63" i="3" l="1"/>
  <c r="I410" i="4"/>
  <c r="K58" i="3" s="1"/>
  <c r="I28" i="1"/>
  <c r="I29" i="1"/>
  <c r="I12" i="4"/>
  <c r="K12" i="3" s="1"/>
  <c r="C22" i="1"/>
  <c r="H12" i="4"/>
  <c r="J12" i="3" s="1"/>
</calcChain>
</file>

<file path=xl/sharedStrings.xml><?xml version="1.0" encoding="utf-8"?>
<sst xmlns="http://schemas.openxmlformats.org/spreadsheetml/2006/main" count="12461" uniqueCount="2556">
  <si>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</si>
  <si>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</si>
  <si>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</si>
  <si>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</si>
  <si>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</si>
  <si>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</si>
  <si>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</si>
  <si>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68516029/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</si>
  <si>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</si>
  <si>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</si>
  <si>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</si>
  <si>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</si>
  <si>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</si>
  <si>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</si>
  <si>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</si>
  <si>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</si>
  <si>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</si>
  <si>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</si>
  <si>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</si>
  <si>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</si>
  <si>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</si>
  <si>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</si>
  <si>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</si>
  <si>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</si>
  <si>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</si>
  <si>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</si>
  <si>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</si>
  <si>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</si>
  <si>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</si>
  <si>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</si>
  <si>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</si>
  <si>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</si>
  <si>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</si>
  <si>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</si>
  <si>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</si>
  <si>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</si>
  <si>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</si>
  <si>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</si>
  <si>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</si>
  <si>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</si>
  <si>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</si>
  <si>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</si>
  <si>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</si>
  <si>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</si>
  <si>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</si>
  <si>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</si>
  <si>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</si>
  <si>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</si>
  <si>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</si>
  <si>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</si>
  <si>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</si>
  <si>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</si>
  <si>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</si>
  <si>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</si>
  <si>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</si>
  <si>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</si>
  <si>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</si>
  <si>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</si>
  <si>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 xml:space="preserve">Rozpočet je nezávazný a zpracovavaný dle zaslané PD pro povolení stavby 4/2024 - do jednotkových cen je nutno napočítat i spotřební materiály.
U zámečnických prací je naceněn klasický materiál, který se následně pozinkuje. Důvodem je velmi drahý nerez a případná nežádoucí reakce nerezu s úpravou pozinkováním, které se jeví jako málo opodstatněné (standardně se používá nerez nebo pozinkování).
VZT: specifikace neobsahuje stavební vápomoce, napojení na EI, ZTI, SDK zákryty. Výrobky uvedené v PD jsou považovány pouze za referenční a definují minimální požadovanou úrove%n automatizace/regulace a provozní technické parametry (viz TL v příloze). Pokud budou konkrétně uvedené výrobky nahrazeny jinými, musí nové výrobky splňovat minimálně alespoň tyto parametry a být v rozsahu výrobků referenčních.
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</si>
  <si>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</si>
  <si>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</si>
  <si>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</si>
  <si>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</si>
  <si>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</si>
  <si>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</si>
  <si>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</si>
  <si>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</si>
  <si>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</si>
  <si>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</si>
  <si>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</si>
  <si>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</si>
  <si>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</si>
  <si>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</si>
  <si>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</si>
  <si>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</si>
  <si>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</si>
  <si>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</si>
  <si>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</si>
  <si>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 - Jen podskupiny</t>
  </si>
  <si>
    <t>Doba výstavby:</t>
  </si>
  <si>
    <t>Zpracováno dne:</t>
  </si>
  <si>
    <t xml:space="preserve"> </t>
  </si>
  <si>
    <t>Náklady (Kč)</t>
  </si>
  <si>
    <t>Kód</t>
  </si>
  <si>
    <t>Zkrácený popis</t>
  </si>
  <si>
    <t>Dodávka</t>
  </si>
  <si>
    <t>Celkem</t>
  </si>
  <si>
    <t>Dětská skupina</t>
  </si>
  <si>
    <t>F</t>
  </si>
  <si>
    <t>DS</t>
  </si>
  <si>
    <t>13</t>
  </si>
  <si>
    <t>Hloubené vykopávky</t>
  </si>
  <si>
    <t>T</t>
  </si>
  <si>
    <t>15</t>
  </si>
  <si>
    <t>Roubení</t>
  </si>
  <si>
    <t>16</t>
  </si>
  <si>
    <t>Přemístění výkopku</t>
  </si>
  <si>
    <t>17</t>
  </si>
  <si>
    <t>Konstrukce ze zemin</t>
  </si>
  <si>
    <t>18</t>
  </si>
  <si>
    <t>Povrchové úpravy terénu</t>
  </si>
  <si>
    <t>19</t>
  </si>
  <si>
    <t>Hloubení pro podzemní stěny, ražení a hloubení důlní</t>
  </si>
  <si>
    <t>21</t>
  </si>
  <si>
    <t>Úprava podloží a základové spáry</t>
  </si>
  <si>
    <t>27</t>
  </si>
  <si>
    <t>Základy</t>
  </si>
  <si>
    <t>28</t>
  </si>
  <si>
    <t>Zpevňování hornin a konstrukcí</t>
  </si>
  <si>
    <t>31</t>
  </si>
  <si>
    <t>Zdi podpěrné a volné</t>
  </si>
  <si>
    <t>34</t>
  </si>
  <si>
    <t>Stěny a příčky</t>
  </si>
  <si>
    <t>41</t>
  </si>
  <si>
    <t>Stropy a stropní konstrukce (pro pozemní stavby)</t>
  </si>
  <si>
    <t>43</t>
  </si>
  <si>
    <t>Schodiště</t>
  </si>
  <si>
    <t>56</t>
  </si>
  <si>
    <t>Podkladní vrstvy komunikací, letišť a ploch</t>
  </si>
  <si>
    <t>59</t>
  </si>
  <si>
    <t>Kryty pozemních komunikací, letišť a ploch dlážděných (předlažby)</t>
  </si>
  <si>
    <t>61</t>
  </si>
  <si>
    <t>Úprava povrchů vnitřní</t>
  </si>
  <si>
    <t>62</t>
  </si>
  <si>
    <t>Úprava povrchů vnější</t>
  </si>
  <si>
    <t>63</t>
  </si>
  <si>
    <t>Podlahy a podlahové konstrukce</t>
  </si>
  <si>
    <t>64</t>
  </si>
  <si>
    <t>Výplně otvorů</t>
  </si>
  <si>
    <t>711</t>
  </si>
  <si>
    <t>Izolace proti vodě</t>
  </si>
  <si>
    <t>713</t>
  </si>
  <si>
    <t>Izolace tepelné</t>
  </si>
  <si>
    <t>721</t>
  </si>
  <si>
    <t>Kanalizace</t>
  </si>
  <si>
    <t>722</t>
  </si>
  <si>
    <t>Vnitřní vodovod</t>
  </si>
  <si>
    <t>725</t>
  </si>
  <si>
    <t>Zařizovací předměty</t>
  </si>
  <si>
    <t>728</t>
  </si>
  <si>
    <t>Vzduchotechnika</t>
  </si>
  <si>
    <t>73</t>
  </si>
  <si>
    <t>Ústřední vytápění</t>
  </si>
  <si>
    <t>762</t>
  </si>
  <si>
    <t>Konstrukce tesařské</t>
  </si>
  <si>
    <t>764</t>
  </si>
  <si>
    <t>Konstrukce klempířské</t>
  </si>
  <si>
    <t>766</t>
  </si>
  <si>
    <t>Konstrukce truhlářské</t>
  </si>
  <si>
    <t>767</t>
  </si>
  <si>
    <t>Konstrukce doplňkové stavební (zámečnické)</t>
  </si>
  <si>
    <t>771</t>
  </si>
  <si>
    <t>Podlahy z dlaždic</t>
  </si>
  <si>
    <t>776</t>
  </si>
  <si>
    <t>Podlahy povlakové</t>
  </si>
  <si>
    <t>781</t>
  </si>
  <si>
    <t>Obklady (keramické)</t>
  </si>
  <si>
    <t>783</t>
  </si>
  <si>
    <t>Nátěry</t>
  </si>
  <si>
    <t>784</t>
  </si>
  <si>
    <t>Malby</t>
  </si>
  <si>
    <t>786</t>
  </si>
  <si>
    <t>Čalounické úpravy</t>
  </si>
  <si>
    <t>787</t>
  </si>
  <si>
    <t>Zasklívání</t>
  </si>
  <si>
    <t>83</t>
  </si>
  <si>
    <t>Potrubí z trub kameninových</t>
  </si>
  <si>
    <t>87</t>
  </si>
  <si>
    <t>Potrubí z trub plastických, skleněných a čedičových</t>
  </si>
  <si>
    <t>89</t>
  </si>
  <si>
    <t>Ostatní konstrukce a práce na trubním vedení</t>
  </si>
  <si>
    <t>91</t>
  </si>
  <si>
    <t>Doplňující konstrukce a práce na pozemních komunikacích a zpevněných plochách</t>
  </si>
  <si>
    <t>94</t>
  </si>
  <si>
    <t>Lešení a stavební výtahy</t>
  </si>
  <si>
    <t>95</t>
  </si>
  <si>
    <t>Různé dokončovací konstrukce a práce na pozemních stavbách</t>
  </si>
  <si>
    <t>96</t>
  </si>
  <si>
    <t>Bourání konstrukcí</t>
  </si>
  <si>
    <t>M21</t>
  </si>
  <si>
    <t>Elektromontáže</t>
  </si>
  <si>
    <t>VORN</t>
  </si>
  <si>
    <t>01VRN</t>
  </si>
  <si>
    <t>03VRN</t>
  </si>
  <si>
    <t>04VRN</t>
  </si>
  <si>
    <t>07VRN</t>
  </si>
  <si>
    <t>Celkem:</t>
  </si>
  <si>
    <t>Rozpočet je nezávazný a zpracovavaný dle zaslané PD pro povolení stavby 4/2024 - do jednotkových cen je nutno napočítat i spotřební materiály.
U zámečnických prací je naceněn klasický materiál, který se následně pozinkuje. Důvodem je velmi drahý nerez a případná nežádoucí reakce nerezu s úpravou pozinkováním, které se jeví jako málo opodstatněné (standardně se používá nerez nebo pozinkování).
VZT: specifikace neobsahuje stavební vápomoce, napojení na EI, ZTI, SDK zákryty. Výrobky uvedené v PD jsou považovány pouze za referenční a definují minimální požadovanou úrove%n automatizace/regulace a provozní technické parametry (viz TL v příloze). Pokud budou konkrétně uvedené výrobky nahrazeny jinými, musí nové výrobky splňovat minimálně alespoň tyto parametry a být v rozsahu výrobků referenčních.</t>
  </si>
  <si>
    <t>Slepý stavební rozpočet</t>
  </si>
  <si>
    <t>Stavební úpravy objektu čp. 80 se změnou užívání</t>
  </si>
  <si>
    <t>Obec Cetoraz, Cetoraz 206, Cetoraz</t>
  </si>
  <si>
    <t>02.12.2024</t>
  </si>
  <si>
    <t>Ing. František Kovář, Dlouhá Lhota 6, Chýnov</t>
  </si>
  <si>
    <t>Cetoraz st.p.č. 89</t>
  </si>
  <si>
    <t> </t>
  </si>
  <si>
    <t>Alen Kadlecová</t>
  </si>
  <si>
    <t>Č</t>
  </si>
  <si>
    <t>MJ</t>
  </si>
  <si>
    <t>Množství</t>
  </si>
  <si>
    <t>Cena/MJ</t>
  </si>
  <si>
    <t>Cenová</t>
  </si>
  <si>
    <t>ISWORK</t>
  </si>
  <si>
    <t>GROUPCODE</t>
  </si>
  <si>
    <t>VATTAX</t>
  </si>
  <si>
    <t>Rozměry</t>
  </si>
  <si>
    <t>(Kč)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</si>
  <si>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</si>
  <si>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</si>
  <si>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</si>
  <si>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</si>
  <si>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</si>
  <si>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</si>
  <si>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</si>
  <si>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</si>
  <si>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</si>
  <si>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</si>
  <si>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</si>
  <si>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</si>
  <si>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</si>
  <si>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</si>
  <si>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139711101RT3</t>
  </si>
  <si>
    <t>Vykopávka v uzavřených prostorách v hor.1-4</t>
  </si>
  <si>
    <t>m3</t>
  </si>
  <si>
    <t>RTS II / 2024</t>
  </si>
  <si>
    <t>13_</t>
  </si>
  <si>
    <t>DS_1_</t>
  </si>
  <si>
    <t>DS_</t>
  </si>
  <si>
    <t>2</t>
  </si>
  <si>
    <t>132201110R00</t>
  </si>
  <si>
    <t>Hloubení rýh š.do 60 cm v hor.3 do 50 m3, STROJNĚ</t>
  </si>
  <si>
    <t>3</t>
  </si>
  <si>
    <t>132201119R00</t>
  </si>
  <si>
    <t>Přípl.za lepivost,hloubení rýh 60 cm,hor.3,STROJNĚ</t>
  </si>
  <si>
    <t>4</t>
  </si>
  <si>
    <t>131201110R00</t>
  </si>
  <si>
    <t>Hloubení nezapaž. jam hor.3 do 50 m3, STROJNĚ</t>
  </si>
  <si>
    <t>RTS I / 2024</t>
  </si>
  <si>
    <t>5</t>
  </si>
  <si>
    <t>131201119R00</t>
  </si>
  <si>
    <t>Příplatek za lepivost - hloubení nezap.jam v hor.3</t>
  </si>
  <si>
    <t>6</t>
  </si>
  <si>
    <t>133201101R00</t>
  </si>
  <si>
    <t>Hloubení šachet v hor.3 do 100 m3</t>
  </si>
  <si>
    <t>7</t>
  </si>
  <si>
    <t>133201109R00</t>
  </si>
  <si>
    <t>Příplatek za lepivost - hloubení šachet v hor.3</t>
  </si>
  <si>
    <t>8</t>
  </si>
  <si>
    <t>151101102R00</t>
  </si>
  <si>
    <t>Pažení a rozepření stěn rýh - příložné - hl.do 4 m</t>
  </si>
  <si>
    <t>m2</t>
  </si>
  <si>
    <t>15_</t>
  </si>
  <si>
    <t>9</t>
  </si>
  <si>
    <t>151101112R00</t>
  </si>
  <si>
    <t>Odstranění pažení stěn rýh - příložné - hl. do 4 m</t>
  </si>
  <si>
    <t>10</t>
  </si>
  <si>
    <t>161101101R00</t>
  </si>
  <si>
    <t>Svislé přemístění výkopku z hor.1-4 do 2,5 m</t>
  </si>
  <si>
    <t>16_</t>
  </si>
  <si>
    <t>11</t>
  </si>
  <si>
    <t>161101102R00</t>
  </si>
  <si>
    <t>Svislé přemístění výkopku z hor.1-4 do 4,0 m</t>
  </si>
  <si>
    <t>12</t>
  </si>
  <si>
    <t>162301101R00</t>
  </si>
  <si>
    <t>Vodorovné přemístění výkopku z hor.1-4 do 500 m</t>
  </si>
  <si>
    <t>167101101R00</t>
  </si>
  <si>
    <t>Nakládání výkopku z hor. 1 ÷ 4 v množství do 100 m3</t>
  </si>
  <si>
    <t>14</t>
  </si>
  <si>
    <t>174101101R00</t>
  </si>
  <si>
    <t>Zásyp jam, rýh, šachet se zhutněním</t>
  </si>
  <si>
    <t>17_</t>
  </si>
  <si>
    <t>175101101RT2</t>
  </si>
  <si>
    <t>Obsyp potrubí bez prohození sypaniny s dodáním štěrkopísku frakce 0 - 22 mm</t>
  </si>
  <si>
    <t>180401211R00</t>
  </si>
  <si>
    <t>Založení trávníku lučního výsevem v rovině</t>
  </si>
  <si>
    <t>18_</t>
  </si>
  <si>
    <t>199000002R00</t>
  </si>
  <si>
    <t>Poplatek za skládku horniny 1- 4, č. dle katal. odpadů 17 05 04</t>
  </si>
  <si>
    <t>19_</t>
  </si>
  <si>
    <t>215901101R00</t>
  </si>
  <si>
    <t>Zhutnění podloží z hornin nesoudržných do 92% PS</t>
  </si>
  <si>
    <t>21_</t>
  </si>
  <si>
    <t>DS_2_</t>
  </si>
  <si>
    <t>275313621R00</t>
  </si>
  <si>
    <t>Beton základových patek prostý C 20/25</t>
  </si>
  <si>
    <t>27_</t>
  </si>
  <si>
    <t>20</t>
  </si>
  <si>
    <t>275351215RT1</t>
  </si>
  <si>
    <t>Bednění stěn základových patek - zřízení, bednicí materiál prkna</t>
  </si>
  <si>
    <t>275351216R00</t>
  </si>
  <si>
    <t>Bednění stěn základových patek - odstranění</t>
  </si>
  <si>
    <t>22</t>
  </si>
  <si>
    <t>273321311R00</t>
  </si>
  <si>
    <t>Železobeton základových desek C 16/20</t>
  </si>
  <si>
    <t>23</t>
  </si>
  <si>
    <t>273361921RT5</t>
  </si>
  <si>
    <t>Výztuž základových desek ze svařovaných sítí</t>
  </si>
  <si>
    <t>t</t>
  </si>
  <si>
    <t>24</t>
  </si>
  <si>
    <t>271531113R00</t>
  </si>
  <si>
    <t>Polštář základu z kameniva hr. drceného 16-32 mm</t>
  </si>
  <si>
    <t>25</t>
  </si>
  <si>
    <t>274313711R00</t>
  </si>
  <si>
    <t>Beton základových pasů prostý C 25/30</t>
  </si>
  <si>
    <t>26</t>
  </si>
  <si>
    <t>271531111-1</t>
  </si>
  <si>
    <t>Urovnaná staveništní suť</t>
  </si>
  <si>
    <t>271531114R00</t>
  </si>
  <si>
    <t>Polštář základu z kameniva drceného 8-16 mm</t>
  </si>
  <si>
    <t>289970111R00</t>
  </si>
  <si>
    <t>Vrstva geotextilie 300g/m2</t>
  </si>
  <si>
    <t>28_</t>
  </si>
  <si>
    <t>29</t>
  </si>
  <si>
    <t>317941121R00</t>
  </si>
  <si>
    <t>Osazení ocelových válcovaných nosníků do č. 12</t>
  </si>
  <si>
    <t>31_</t>
  </si>
  <si>
    <t>DS_3_</t>
  </si>
  <si>
    <t>30</t>
  </si>
  <si>
    <t>13383420</t>
  </si>
  <si>
    <t>Tyč ocelová IPE 120 - PD1, PD2, PD5</t>
  </si>
  <si>
    <t>317941123R00</t>
  </si>
  <si>
    <t>Osazení ocelových válcovaných nosníků  č. 14 - 22</t>
  </si>
  <si>
    <t>32</t>
  </si>
  <si>
    <t>13383425</t>
  </si>
  <si>
    <t>Tyč ocelová IPE 140 - PD3</t>
  </si>
  <si>
    <t>33</t>
  </si>
  <si>
    <t>13486320</t>
  </si>
  <si>
    <t>Tyč ocelová HEA 220</t>
  </si>
  <si>
    <t>317168131R00</t>
  </si>
  <si>
    <t>Překlad vysoký 70 x 238 x 1250 mm pro orientované uložení - PD4</t>
  </si>
  <si>
    <t>kus</t>
  </si>
  <si>
    <t>35</t>
  </si>
  <si>
    <t>317998112</t>
  </si>
  <si>
    <t>Izolace mezi překlady z polystyrenu tl. 60 mm - PD4</t>
  </si>
  <si>
    <t>m</t>
  </si>
  <si>
    <t>2024</t>
  </si>
  <si>
    <t>36</t>
  </si>
  <si>
    <t>319202321R00</t>
  </si>
  <si>
    <t>Vyrovnání povrchu zdiva přizděním do tl. 8 cm - úprava PD5</t>
  </si>
  <si>
    <t>37</t>
  </si>
  <si>
    <t>311112025RT3</t>
  </si>
  <si>
    <t>Uložení tvárnic ztraceného bednění, tl. 250 mm, zálivka betonem, vč. dodávky betonu C 20/25 - sloup 500*750 mm</t>
  </si>
  <si>
    <t>38</t>
  </si>
  <si>
    <t>311238138</t>
  </si>
  <si>
    <t>Zdivo z keramických cihel tl. 210 mm, P10, EI60 DP1 na malru MVC 2,5 nebo lepidlo</t>
  </si>
  <si>
    <t>39</t>
  </si>
  <si>
    <t>311238312R00</t>
  </si>
  <si>
    <t>Zdivo z cihel  AKU 20 P15, tl. 190 mm</t>
  </si>
  <si>
    <t>40</t>
  </si>
  <si>
    <t>311238325R00</t>
  </si>
  <si>
    <t>Zdivo z cihel P15, tl. 300 mm</t>
  </si>
  <si>
    <t>342248140R00</t>
  </si>
  <si>
    <t>Příčky tl. 80 mm</t>
  </si>
  <si>
    <t>34_</t>
  </si>
  <si>
    <t>42</t>
  </si>
  <si>
    <t>342012221R00</t>
  </si>
  <si>
    <t>Příčka SDK tl.100 mm,ocel.kce,1x oplášť.,RB 12,5mm, izol.tl. 50 mm</t>
  </si>
  <si>
    <t>342012223R00</t>
  </si>
  <si>
    <t>Příčka SDK tl.100mm,ocel.kce,1x oplášť.,RBI 12,5mm, izol.tl. 50 mm</t>
  </si>
  <si>
    <t>44</t>
  </si>
  <si>
    <t>342013224RT1</t>
  </si>
  <si>
    <t>Příčka SDK tl.125mm,ocel.kce,2x oplášť.,RFI 12,5mm, izolace tloušťky 50 mm, EI 90</t>
  </si>
  <si>
    <t>45</t>
  </si>
  <si>
    <t>342254711R00</t>
  </si>
  <si>
    <t>Příčky z desek pórobetonových tl. 125 mm</t>
  </si>
  <si>
    <t>46</t>
  </si>
  <si>
    <t>411321315R00</t>
  </si>
  <si>
    <t>Stropy deskové ze železobetonu C 20/25</t>
  </si>
  <si>
    <t>41_</t>
  </si>
  <si>
    <t>DS_4_</t>
  </si>
  <si>
    <t>47</t>
  </si>
  <si>
    <t>411351101RT2</t>
  </si>
  <si>
    <t>Bednění stropů deskových, bednění vlastní -zřízení včetně materiálu</t>
  </si>
  <si>
    <t>48</t>
  </si>
  <si>
    <t>411351102R00</t>
  </si>
  <si>
    <t>Bednění stropů deskových, vlastní - odstranění</t>
  </si>
  <si>
    <t>49</t>
  </si>
  <si>
    <t>411361821R00</t>
  </si>
  <si>
    <t>Výztuž stropů z betonářské oceli B500B (10 505)</t>
  </si>
  <si>
    <t>50</t>
  </si>
  <si>
    <t>417321315R00</t>
  </si>
  <si>
    <t>Ztužující pásy a věnce z betonu železového C 20/25</t>
  </si>
  <si>
    <t>51</t>
  </si>
  <si>
    <t>417351115R00</t>
  </si>
  <si>
    <t>Bednění ztužujících pásů a věnců - zřízení vč. materiálu</t>
  </si>
  <si>
    <t>52</t>
  </si>
  <si>
    <t>417351116R00</t>
  </si>
  <si>
    <t>Bednění ztužujících pásů a věnců - odstranění</t>
  </si>
  <si>
    <t>53</t>
  </si>
  <si>
    <t>417361821R00</t>
  </si>
  <si>
    <t>Výztuž ztužujících pásů a věnců z oceli B500B (10 505)</t>
  </si>
  <si>
    <t>54</t>
  </si>
  <si>
    <t>416026124R00</t>
  </si>
  <si>
    <t>Podhled SDK,ocel.dvouúrov.kříž.rošt, 1x RFI 12,5mm</t>
  </si>
  <si>
    <t>55</t>
  </si>
  <si>
    <t>430321414R00</t>
  </si>
  <si>
    <t>Beton schodišťových konstrukcí železový C 25/30</t>
  </si>
  <si>
    <t>43_</t>
  </si>
  <si>
    <t>430361921RT4</t>
  </si>
  <si>
    <t>Výztuž schodišťových konstrukcí svařovanou sítí KH 30, drát d 6,0 mm, oko 100 x 100 mm</t>
  </si>
  <si>
    <t>57</t>
  </si>
  <si>
    <t>434141111-1</t>
  </si>
  <si>
    <t>Osazení schodišťového prvku z vibrolisovaného betonu tl. 60 mm</t>
  </si>
  <si>
    <t>58</t>
  </si>
  <si>
    <t>59228520</t>
  </si>
  <si>
    <t>Prvek schodišťový betonový přírodní</t>
  </si>
  <si>
    <t>434351141R00</t>
  </si>
  <si>
    <t>Bednění stupňů přímočarých - zřízení</t>
  </si>
  <si>
    <t>60</t>
  </si>
  <si>
    <t>434351142R00</t>
  </si>
  <si>
    <t>Bednění stupňů přímočarých - odstranění</t>
  </si>
  <si>
    <t>564801112RT2</t>
  </si>
  <si>
    <t>Podklad ze štěrkodrti po zhutnění tloušťky 4 cm, štěrkodrť frakce 4-8 mm</t>
  </si>
  <si>
    <t>56_</t>
  </si>
  <si>
    <t>DS_5_</t>
  </si>
  <si>
    <t>564811111RT2</t>
  </si>
  <si>
    <t>Podklad ze štěrkodrti po zhutnění tloušťky 5 cm, štěrkodrť frakce 8-16 mm</t>
  </si>
  <si>
    <t>564841111RT4</t>
  </si>
  <si>
    <t>Podklad ze štěrkodrti po zhutnění tloušťky 12 cm, štěrkodrť frakce 0-63 mm</t>
  </si>
  <si>
    <t>564231111R00</t>
  </si>
  <si>
    <t>Podklad ze štěrkopísku po zhutnění tloušťky 10 cm, frakce 0-8 mm</t>
  </si>
  <si>
    <t>65</t>
  </si>
  <si>
    <t>564871111RT4</t>
  </si>
  <si>
    <t>Podklad ze štěrkodrti po zhutnění tloušťky 25 cm, štěrkodrť frakce 0-63 mm</t>
  </si>
  <si>
    <t>66</t>
  </si>
  <si>
    <t>Podklad ze štěrkopísku po zhutnění tloušťky 10 cm</t>
  </si>
  <si>
    <t>67</t>
  </si>
  <si>
    <t>596215021R00</t>
  </si>
  <si>
    <t>Kladení zámkové dlažby tl. 6 cm do drtě tl. 4 cm</t>
  </si>
  <si>
    <t>59_</t>
  </si>
  <si>
    <t>68</t>
  </si>
  <si>
    <t>59245268</t>
  </si>
  <si>
    <t>Dlažba standard 200 x 100 x 60 mm</t>
  </si>
  <si>
    <t>69</t>
  </si>
  <si>
    <t>599432111R00</t>
  </si>
  <si>
    <t>Výplň spár dlažby kam.těženým</t>
  </si>
  <si>
    <t>70</t>
  </si>
  <si>
    <t>596291111R00</t>
  </si>
  <si>
    <t>Řezání zámkové dlažby tl. 60 mm</t>
  </si>
  <si>
    <t>71</t>
  </si>
  <si>
    <t>596921112R00</t>
  </si>
  <si>
    <t>Kladení betonových vegetačních tvárnic do lože z kameniva fr. 4-8 tl. 40 mm, plocha do 100 m2</t>
  </si>
  <si>
    <t>72</t>
  </si>
  <si>
    <t>5924812-1</t>
  </si>
  <si>
    <t>Dlažba vegetační o rozměru 40/60 tl. 100 mm</t>
  </si>
  <si>
    <t>599141111R00</t>
  </si>
  <si>
    <t>Vyplnění živičnou zálivkou</t>
  </si>
  <si>
    <t>74</t>
  </si>
  <si>
    <t>59900001-1</t>
  </si>
  <si>
    <t>Odstranění a doplnění asfaltové komunikace</t>
  </si>
  <si>
    <t>75</t>
  </si>
  <si>
    <t>611481211RT3</t>
  </si>
  <si>
    <t>Montáž výztužné sítě (perlinky) do stěrky-stropy, včetně výztužné sítě a stěrkového tmelu</t>
  </si>
  <si>
    <t>61_</t>
  </si>
  <si>
    <t>DS_6_</t>
  </si>
  <si>
    <t>76</t>
  </si>
  <si>
    <t>611421110RT2</t>
  </si>
  <si>
    <t>Omítka vnitřní stropů rovných, MVC, hrubá, s použitím suché maltové směsi tl. 25 mm</t>
  </si>
  <si>
    <t>77</t>
  </si>
  <si>
    <t>6113117-3</t>
  </si>
  <si>
    <t>Nalepení fas.čedičové minerální vlny hydrofobizované tl. 100 mm celoplošně</t>
  </si>
  <si>
    <t>78</t>
  </si>
  <si>
    <t>612409991RT2</t>
  </si>
  <si>
    <t>Začištění omítek kolem oken,dveří apod.</t>
  </si>
  <si>
    <t>79</t>
  </si>
  <si>
    <t>612421637R00</t>
  </si>
  <si>
    <t>Omítka vnitřní zdiva, MVC, štuková</t>
  </si>
  <si>
    <t>80</t>
  </si>
  <si>
    <t>622300154RT3</t>
  </si>
  <si>
    <t>Montáž zakládací sady ETICS, s dodávkou zadní a okapní lišty</t>
  </si>
  <si>
    <t>62_</t>
  </si>
  <si>
    <t>81</t>
  </si>
  <si>
    <t>622311523RU1</t>
  </si>
  <si>
    <t>Zateplovací systém ETICS, sokl, XPS tl. 120 mm, s mozaikovou omítkou 5,5 kg/m2</t>
  </si>
  <si>
    <t>82</t>
  </si>
  <si>
    <t>622311835RU4</t>
  </si>
  <si>
    <t>Zateplovací systém ETICS, fasáda, miner.desky PV 160 mm, s omítkou silikonsilikátovou, lepidlo</t>
  </si>
  <si>
    <t>622311153RU4</t>
  </si>
  <si>
    <t>Zateplovací systém ETICS, ostění, EPS F tl. 30 mm, s omítkou silikonsilikátovou, lepidlo</t>
  </si>
  <si>
    <t>84</t>
  </si>
  <si>
    <t>620991121R00</t>
  </si>
  <si>
    <t>Zakrývání výplní vnějších otvorů z lešení</t>
  </si>
  <si>
    <t>85</t>
  </si>
  <si>
    <t>622477123RT2</t>
  </si>
  <si>
    <t>Oprava vnější omítky hladké stěn,sl. I,do 30 %,SMS</t>
  </si>
  <si>
    <t>86</t>
  </si>
  <si>
    <t>622904112R00</t>
  </si>
  <si>
    <t>Očištění fasád tlakovou vodou složitost 1 - 2</t>
  </si>
  <si>
    <t>620991002R00</t>
  </si>
  <si>
    <t>Začišťovací okenní lišta pro vnějš.omítku tl. 9 mm</t>
  </si>
  <si>
    <t>88</t>
  </si>
  <si>
    <t>622319111R00</t>
  </si>
  <si>
    <t>Dilatační profil KZS průběžný</t>
  </si>
  <si>
    <t>632411108RT3</t>
  </si>
  <si>
    <t>Samonivelační stěrka, ruční zpracování tl. do 8 mm vč. materálu</t>
  </si>
  <si>
    <t>63_</t>
  </si>
  <si>
    <t>90</t>
  </si>
  <si>
    <t>632458323R00</t>
  </si>
  <si>
    <t>Potěr cementový vodotěsný rovinný, nad 30 m2</t>
  </si>
  <si>
    <t>631664112R00</t>
  </si>
  <si>
    <t>Oprava beton. podlah cement. hmotou tl. do 20 mm</t>
  </si>
  <si>
    <t>92</t>
  </si>
  <si>
    <t>631312621RM1</t>
  </si>
  <si>
    <t>Mazanina betonová tl. 5 - 8 cm C 20/25</t>
  </si>
  <si>
    <t>93</t>
  </si>
  <si>
    <t>631361921RT0</t>
  </si>
  <si>
    <t>Výztuž mazanin svařovanou sítí KA 17, drát d 4,0 mm, oko 150 x 150 mm</t>
  </si>
  <si>
    <t>632419102RT3</t>
  </si>
  <si>
    <t>Samonivelační stěrka, ruční zpracování tl. 2 mm vč. materiálu</t>
  </si>
  <si>
    <t>642945312RT4</t>
  </si>
  <si>
    <t>Osaz.zárubně ocel. pož., tl.stěny 100mm, včetně dodávky zárubně, š průchodu 800 mm - DD14</t>
  </si>
  <si>
    <t>64_</t>
  </si>
  <si>
    <t>642945314RT4</t>
  </si>
  <si>
    <t>Osaz.zárubně ocel. pož., tl.stěny 150mm, včetně dodávky zárubně, š průchodu 800 mm - DD12</t>
  </si>
  <si>
    <t>97</t>
  </si>
  <si>
    <t>648991113RT6</t>
  </si>
  <si>
    <t>Osazení parapet.desek plast. a lamin. š.nad 20cm, včetně dodávky plastové parapetní desky</t>
  </si>
  <si>
    <t>98</t>
  </si>
  <si>
    <t>642202011RAC</t>
  </si>
  <si>
    <t>Zazdění dveří jednokřídlových, omítka, zeď tloušťky do 45 cm z CP10, REI 90 DP1</t>
  </si>
  <si>
    <t>99</t>
  </si>
  <si>
    <t>998011001R00</t>
  </si>
  <si>
    <t>Přesun hmot pro budovy zděné výšky do 6 m</t>
  </si>
  <si>
    <t>100</t>
  </si>
  <si>
    <t>711212000RU1</t>
  </si>
  <si>
    <t>Penetrace podkladu, včetně dodávky</t>
  </si>
  <si>
    <t>711_</t>
  </si>
  <si>
    <t>DS_71_</t>
  </si>
  <si>
    <t>101</t>
  </si>
  <si>
    <t>711111001RZ1</t>
  </si>
  <si>
    <t>Provedení izolace proti vlhkosti na ploše vodorovné, 1x asfaltovým penetračním nátěrem</t>
  </si>
  <si>
    <t>102</t>
  </si>
  <si>
    <t>711141559RY2</t>
  </si>
  <si>
    <t>Provedení izolace proti vlhkosti na ploše vodorovné, asfaltovými pásy přitavením, 1 vrstva - včetně dodávky materiálu</t>
  </si>
  <si>
    <t>103</t>
  </si>
  <si>
    <t>711210020RAB</t>
  </si>
  <si>
    <t>Stěrka hydroizolační těsnicí hmotou vč. materiálu</t>
  </si>
  <si>
    <t>104</t>
  </si>
  <si>
    <t>998711201R00</t>
  </si>
  <si>
    <t>Přesun hmot pro izolace proti vodě, výšky do 6 m</t>
  </si>
  <si>
    <t>105</t>
  </si>
  <si>
    <t>713521634R00</t>
  </si>
  <si>
    <t>Protipožární obklad IPE č. 12, požární odolnost R 60, třístranný - PD5</t>
  </si>
  <si>
    <t>713_</t>
  </si>
  <si>
    <t>106</t>
  </si>
  <si>
    <t>713121111RT1</t>
  </si>
  <si>
    <t>Montáž tepelné nebo kročejové izolace podlah na sucho, jednovrstvé</t>
  </si>
  <si>
    <t>107</t>
  </si>
  <si>
    <t>283758-1</t>
  </si>
  <si>
    <t>Deska polystyrenová 150 tl. 110 mm</t>
  </si>
  <si>
    <t>108</t>
  </si>
  <si>
    <t>283758-2</t>
  </si>
  <si>
    <t>Deska polystyrenová 150 tl. 130 mm</t>
  </si>
  <si>
    <t>109</t>
  </si>
  <si>
    <t>713191100RT9</t>
  </si>
  <si>
    <t>Položení separační fólie, včetně dodávky PE fólie</t>
  </si>
  <si>
    <t>110</t>
  </si>
  <si>
    <t>713121118RU1</t>
  </si>
  <si>
    <t>Montáž dilatačního pásku podél stěn</t>
  </si>
  <si>
    <t>111</t>
  </si>
  <si>
    <t>713111111RT1</t>
  </si>
  <si>
    <t>Montáž tepelné izolace stropů vrchem kladené, volně</t>
  </si>
  <si>
    <t>112</t>
  </si>
  <si>
    <t>631538-1</t>
  </si>
  <si>
    <t>Čedičová izolace tl. 100 mm</t>
  </si>
  <si>
    <t>113</t>
  </si>
  <si>
    <t>713111221RO6</t>
  </si>
  <si>
    <t>Montáž parozábrany, zavěšeného podhledu s přelepením spojů včetně folie AL 170</t>
  </si>
  <si>
    <t>114</t>
  </si>
  <si>
    <t>713511382RU3</t>
  </si>
  <si>
    <t>Nátěr protipožární dvouvrstvý nosníku I a H, požární odolnost R 30</t>
  </si>
  <si>
    <t>115</t>
  </si>
  <si>
    <t>998713202R00</t>
  </si>
  <si>
    <t>Přesun hmot pro izolace tepelné, výšky do 12 m</t>
  </si>
  <si>
    <t>116</t>
  </si>
  <si>
    <t>721176224R00</t>
  </si>
  <si>
    <t>Potrubí PVC svodné (ležaté) v zemi, D 160 x 4,0 mm</t>
  </si>
  <si>
    <t>721_</t>
  </si>
  <si>
    <t>DS_72_</t>
  </si>
  <si>
    <t>117</t>
  </si>
  <si>
    <t>28656139</t>
  </si>
  <si>
    <t>Koleno kanalizační odolné DN 160 mm 30°</t>
  </si>
  <si>
    <t>118</t>
  </si>
  <si>
    <t>28656133</t>
  </si>
  <si>
    <t>Koleno kanalizační odolné DN 160 mm 15°</t>
  </si>
  <si>
    <t>119</t>
  </si>
  <si>
    <t>28656163</t>
  </si>
  <si>
    <t>Odbočka kanalizační odolná DN 160/110 mm 45°</t>
  </si>
  <si>
    <t>120</t>
  </si>
  <si>
    <t>28656157</t>
  </si>
  <si>
    <t>Redukce kanalizační odolná DN 160/125 mm</t>
  </si>
  <si>
    <t>121</t>
  </si>
  <si>
    <t>721176223R00</t>
  </si>
  <si>
    <t>Potrubí PVC svodné (ležaté) v zemi, D 125 x 3,2 mm</t>
  </si>
  <si>
    <t>122</t>
  </si>
  <si>
    <t>28656141</t>
  </si>
  <si>
    <t>Koleno kanalizační odolné DN 125 mm 45°</t>
  </si>
  <si>
    <t>123</t>
  </si>
  <si>
    <t>28651701.A</t>
  </si>
  <si>
    <t>Odbočka kanalizační 125/ 110/45° PVC</t>
  </si>
  <si>
    <t>124</t>
  </si>
  <si>
    <t>28656173</t>
  </si>
  <si>
    <t>Odbočka kanalizační odolná DN 110/110 mm 87°</t>
  </si>
  <si>
    <t>125</t>
  </si>
  <si>
    <t>28656150</t>
  </si>
  <si>
    <t>Koleno kanalizační odolné DN 110 mm 87°</t>
  </si>
  <si>
    <t>126</t>
  </si>
  <si>
    <t>28651690.A</t>
  </si>
  <si>
    <t>Redukce kanalizační 125/ 110 PVC</t>
  </si>
  <si>
    <t>127</t>
  </si>
  <si>
    <t>721176222R00</t>
  </si>
  <si>
    <t>Potrubí PVC svodné (ležaté) v zemi, D 110 x 3,2 mm</t>
  </si>
  <si>
    <t>128</t>
  </si>
  <si>
    <t>721176212R00</t>
  </si>
  <si>
    <t>Potrubí PVC odpadní svislé, D 110 x 3,2 mm</t>
  </si>
  <si>
    <t>129</t>
  </si>
  <si>
    <t>130</t>
  </si>
  <si>
    <t>28651840.A</t>
  </si>
  <si>
    <t>Kus čisticí kanalizační DN 100 PVC</t>
  </si>
  <si>
    <t>131</t>
  </si>
  <si>
    <t>721290112R00</t>
  </si>
  <si>
    <t>Zkouška těsnosti kanalizace vodou DN 200 mm</t>
  </si>
  <si>
    <t>132</t>
  </si>
  <si>
    <t>72127315-1</t>
  </si>
  <si>
    <t>Hlavice ventilační přivětrávací včetně dodávky</t>
  </si>
  <si>
    <t>133</t>
  </si>
  <si>
    <t>721176105R00</t>
  </si>
  <si>
    <t>Potrubí PVC připojovací, D 110 x 2,7 mm</t>
  </si>
  <si>
    <t>134</t>
  </si>
  <si>
    <t>998721202R00</t>
  </si>
  <si>
    <t>Přesun hmot pro kanalizaci, výšky do 12 m</t>
  </si>
  <si>
    <t>135</t>
  </si>
  <si>
    <t>722172411R00</t>
  </si>
  <si>
    <t>Potrubí plastové včetně zednických výpomocí, D 20 x 2,8 mm, PN 16</t>
  </si>
  <si>
    <t>722_</t>
  </si>
  <si>
    <t>136</t>
  </si>
  <si>
    <t>722172412R00</t>
  </si>
  <si>
    <t>Potrubí plastové včetně zednických výpomocí, D 25 x 3,5 mm, PN 16</t>
  </si>
  <si>
    <t>137</t>
  </si>
  <si>
    <t>72222411-1</t>
  </si>
  <si>
    <t>Kohout kulový vypouštěcí</t>
  </si>
  <si>
    <t>138</t>
  </si>
  <si>
    <t>732489111R00</t>
  </si>
  <si>
    <t>Montáž vodoměrů</t>
  </si>
  <si>
    <t>soubor</t>
  </si>
  <si>
    <t>139</t>
  </si>
  <si>
    <t>55118007</t>
  </si>
  <si>
    <t>Souprava vodoměrná - bytová</t>
  </si>
  <si>
    <t>140</t>
  </si>
  <si>
    <t>722181212RT7</t>
  </si>
  <si>
    <t>Izolace návleková tl. stěny 9 mm, vnitřní průměr 20 mm</t>
  </si>
  <si>
    <t>141</t>
  </si>
  <si>
    <t>722181212RT8</t>
  </si>
  <si>
    <t>Izolace návleková tl. stěny 9 mm, vnitřní průměr 22 mm</t>
  </si>
  <si>
    <t>142</t>
  </si>
  <si>
    <t>722280106R00</t>
  </si>
  <si>
    <t>Tlaková zkouška vodovodního potrubí do DN 32 mm</t>
  </si>
  <si>
    <t>143</t>
  </si>
  <si>
    <t>72501218-1</t>
  </si>
  <si>
    <t>Klozet dětský, nádrž keramická, odpad zadní, sedátko s poklopem - K1</t>
  </si>
  <si>
    <t>725_</t>
  </si>
  <si>
    <t>144</t>
  </si>
  <si>
    <t>725013173R00</t>
  </si>
  <si>
    <t>Klozet kombi, nádrž s armaturou, odpad zadní, sedátko s poklopem - K2</t>
  </si>
  <si>
    <t>145</t>
  </si>
  <si>
    <t>725292001R00</t>
  </si>
  <si>
    <t>Zásobník na toaletní papír - K1, K2</t>
  </si>
  <si>
    <t>146</t>
  </si>
  <si>
    <t>72501716-1</t>
  </si>
  <si>
    <t>Umyvadlo 500 x 410 mm, bílé s otvorem pro 1 baterii - U1</t>
  </si>
  <si>
    <t>147</t>
  </si>
  <si>
    <t>72501717-1</t>
  </si>
  <si>
    <t>Umyvadlo  600 x 400 mm, bílé - U2</t>
  </si>
  <si>
    <t>148</t>
  </si>
  <si>
    <t>72582930-1</t>
  </si>
  <si>
    <t>Montáž baterie umyvadlové stojánkové na 1 vodu - U1</t>
  </si>
  <si>
    <t>149</t>
  </si>
  <si>
    <t>72582920-1</t>
  </si>
  <si>
    <t>Montáž baterie umyvadlové včetně dodávky pákové baterie - U2</t>
  </si>
  <si>
    <t>150</t>
  </si>
  <si>
    <t>725860253R00</t>
  </si>
  <si>
    <t>Sifon umyvadlový - U1, U2</t>
  </si>
  <si>
    <t>151</t>
  </si>
  <si>
    <t>72529204-1</t>
  </si>
  <si>
    <t>Dávkovač tekutého mýdla - U1, U2</t>
  </si>
  <si>
    <t>152</t>
  </si>
  <si>
    <t>72501910-1</t>
  </si>
  <si>
    <t>Výlevka stojící s mřížkou, odpad zadní - U3</t>
  </si>
  <si>
    <t>153</t>
  </si>
  <si>
    <t>72582511-1</t>
  </si>
  <si>
    <t>Baterie dřezová nástěnná jednopáková s prodlouženým ramínkem - U3</t>
  </si>
  <si>
    <t>154</t>
  </si>
  <si>
    <t>72582581-1</t>
  </si>
  <si>
    <t>Baterie termostatická nástěnná pod omítkou nerezová - BA1</t>
  </si>
  <si>
    <t>155</t>
  </si>
  <si>
    <t>725249101R00</t>
  </si>
  <si>
    <t>Montáž sprchových boxů</t>
  </si>
  <si>
    <t>156</t>
  </si>
  <si>
    <t>5548421-1</t>
  </si>
  <si>
    <t>Sprchový kout 900 x 800 mm, bezpečnostní sklo, posuvné dveře, sprchová vanička, sifon, sprchová baterie - S1</t>
  </si>
  <si>
    <t>157</t>
  </si>
  <si>
    <t>998725201R00</t>
  </si>
  <si>
    <t>Přesun hmot pro zařizovací předměty, výšky do 6 m</t>
  </si>
  <si>
    <t>158</t>
  </si>
  <si>
    <t>728001</t>
  </si>
  <si>
    <t>Kompaktní VZT jednotka s rekuperací tepla</t>
  </si>
  <si>
    <t>728_</t>
  </si>
  <si>
    <t>bypassem, el. ohřívačem, vč. kompletní regulace a instrumentace, klapek, filktů (f7-přívod), EC motorů...+340/-350, 150/150 Pa, Ecodesign, ref.výrobek: EDV, Sabik 500
Ovládací členy: kompletní autonomní digitáloní regulace, ovládání přes internet, nástěnný ovladač, 1x čidlo CO2, 1x impulsní tlačítko s doběhem chodu, veškerá kabelová připojení</t>
  </si>
  <si>
    <t>159</t>
  </si>
  <si>
    <t>728002</t>
  </si>
  <si>
    <t>Podstavný rám pro montáž na podlahu</t>
  </si>
  <si>
    <t>160</t>
  </si>
  <si>
    <t>728003</t>
  </si>
  <si>
    <t>Start pack - oživení, spuštění, zaškolení</t>
  </si>
  <si>
    <t xml:space="preserve"> 2024</t>
  </si>
  <si>
    <t>161</t>
  </si>
  <si>
    <t>728004</t>
  </si>
  <si>
    <t>Napojení VZT jednotky na internet, propojení VZT jednotky s nástěnným digitálním počítačem</t>
  </si>
  <si>
    <t>162</t>
  </si>
  <si>
    <t>728005</t>
  </si>
  <si>
    <t>Kouřové čidlo do sání jednotky VZT + napojení na STOP kontakt</t>
  </si>
  <si>
    <t>163</t>
  </si>
  <si>
    <t>728314113V</t>
  </si>
  <si>
    <t>Protidešťová žaluzie sací 200x200, dpmax=20Pa, 340m3/h, RAL</t>
  </si>
  <si>
    <t>164</t>
  </si>
  <si>
    <t>728214212V</t>
  </si>
  <si>
    <t>Přechod na kruhové potrubí 200x200 / pr. 180</t>
  </si>
  <si>
    <t>165</t>
  </si>
  <si>
    <t>728312114V</t>
  </si>
  <si>
    <t>Trubní tlumič hluku pr. 180, L900</t>
  </si>
  <si>
    <t>166</t>
  </si>
  <si>
    <t>728006</t>
  </si>
  <si>
    <t>Izolovaný plenum box 600x600 vč. regulace, horizontální připojení pr. 160</t>
  </si>
  <si>
    <t>167</t>
  </si>
  <si>
    <t>728412227V</t>
  </si>
  <si>
    <t>Výřivý anemostat s nastavitelnými lamelami 115 m3/h, dp max 20Pa, LwA max 25 Pa</t>
  </si>
  <si>
    <t>168</t>
  </si>
  <si>
    <t>728413521V</t>
  </si>
  <si>
    <t>Talířový ventil odvodní vč. montrámečku, pr. 100</t>
  </si>
  <si>
    <t>169</t>
  </si>
  <si>
    <t>728413522V</t>
  </si>
  <si>
    <t>Talířový ventil odvodní vč. montrámečku, pr. 160</t>
  </si>
  <si>
    <t>170</t>
  </si>
  <si>
    <t>728007</t>
  </si>
  <si>
    <t>Těsné zaslepení pr. 180, koncipovat jako odpařovací jímku</t>
  </si>
  <si>
    <t>171</t>
  </si>
  <si>
    <t>728008</t>
  </si>
  <si>
    <t>Výfuková protidešťová střešní tvarovka, pr. 180, 340 m3/h</t>
  </si>
  <si>
    <t>172</t>
  </si>
  <si>
    <t>728009</t>
  </si>
  <si>
    <t>Prostup střechou, utěsnění proti pronikání vody</t>
  </si>
  <si>
    <t>173</t>
  </si>
  <si>
    <t>728010</t>
  </si>
  <si>
    <t>Neuzavíratelná stěnová mřížka min. 400x150</t>
  </si>
  <si>
    <t>174</t>
  </si>
  <si>
    <t>728414611V</t>
  </si>
  <si>
    <t>Kuchyňská digestoř s integrovaným ventilátorem a zpětnou klapkou</t>
  </si>
  <si>
    <t>175</t>
  </si>
  <si>
    <t>728011</t>
  </si>
  <si>
    <t>Těsné zaslepení pr. 160 + odkap pro napojení na ZTI</t>
  </si>
  <si>
    <t>176</t>
  </si>
  <si>
    <t>728111V</t>
  </si>
  <si>
    <t>VZT potrubí pr. 160, 40% tvarovek</t>
  </si>
  <si>
    <t>177</t>
  </si>
  <si>
    <t>728112V</t>
  </si>
  <si>
    <t>VZT potrubí pr. 180, 40% tvarovek</t>
  </si>
  <si>
    <t>178</t>
  </si>
  <si>
    <t>728214711V</t>
  </si>
  <si>
    <t>Al. laminátová hlavice s hlukovou a tepelnou izolací a parozábranou pr. 100</t>
  </si>
  <si>
    <t>179</t>
  </si>
  <si>
    <t>728214712V</t>
  </si>
  <si>
    <t>Al. laminátová hlavice s hlukovou a tepelnou izolací a parozábranou pr. 160</t>
  </si>
  <si>
    <t>180</t>
  </si>
  <si>
    <t>728214712.1V</t>
  </si>
  <si>
    <t>Al. laminátová hlavice s hlukovou a tepelnou izolací a parozábranou pr. 180</t>
  </si>
  <si>
    <t>181</t>
  </si>
  <si>
    <t>728012</t>
  </si>
  <si>
    <t>Tepelná izolace min. tl. 40 mm s povrchovou úpravou Al. folií</t>
  </si>
  <si>
    <t>182</t>
  </si>
  <si>
    <t>728013</t>
  </si>
  <si>
    <t>Požární a tepelná izolace s atestem, odolnost dle PBŘ</t>
  </si>
  <si>
    <t>183</t>
  </si>
  <si>
    <t>728014</t>
  </si>
  <si>
    <t>Pomocné nosné konstrukce pro kotvení VZT</t>
  </si>
  <si>
    <t>kg</t>
  </si>
  <si>
    <t>184</t>
  </si>
  <si>
    <t>728015</t>
  </si>
  <si>
    <t>Materiál na závěsy, závitové tyče, hmoždinky, podložky, matice (5%)</t>
  </si>
  <si>
    <t>185</t>
  </si>
  <si>
    <t>728016</t>
  </si>
  <si>
    <t>Montáž zařízení % z celku</t>
  </si>
  <si>
    <t>186</t>
  </si>
  <si>
    <t>728017</t>
  </si>
  <si>
    <t>Doprava a vnitrostaveništní přesun 5% z celku</t>
  </si>
  <si>
    <t>187</t>
  </si>
  <si>
    <t>728018</t>
  </si>
  <si>
    <t>Dokumentace skutečného provedení</t>
  </si>
  <si>
    <t>h</t>
  </si>
  <si>
    <t>188</t>
  </si>
  <si>
    <t>728019</t>
  </si>
  <si>
    <t>Autorská dozor</t>
  </si>
  <si>
    <t>189</t>
  </si>
  <si>
    <t>730001</t>
  </si>
  <si>
    <t>Zdroj tepla - viz samostatný rozpočet</t>
  </si>
  <si>
    <t>kpl</t>
  </si>
  <si>
    <t>73_</t>
  </si>
  <si>
    <t>DS_73_</t>
  </si>
  <si>
    <t>190</t>
  </si>
  <si>
    <t>730002</t>
  </si>
  <si>
    <t>Dětská skupina  - viz samostatný rozpočet</t>
  </si>
  <si>
    <t>191</t>
  </si>
  <si>
    <t>998732201R00</t>
  </si>
  <si>
    <t>Přesun hmot pro ÚT, výšky do 6 m</t>
  </si>
  <si>
    <t>192</t>
  </si>
  <si>
    <t>762523104RT3</t>
  </si>
  <si>
    <t>Položení podlah hoblovaných na sraz z prken včetně dodávky, prkna hoblovaná tl. 24 mm</t>
  </si>
  <si>
    <t>762_</t>
  </si>
  <si>
    <t>DS_76_</t>
  </si>
  <si>
    <t>193</t>
  </si>
  <si>
    <t>762595000R00</t>
  </si>
  <si>
    <t>Spojovací a ochranné prostředky k položení podlah</t>
  </si>
  <si>
    <t>194</t>
  </si>
  <si>
    <t>762822141</t>
  </si>
  <si>
    <t>Montáž stropnic hraněných pl. nad 540 cm2 včetně dodávky řeziva, hranoly 20/26</t>
  </si>
  <si>
    <t>195</t>
  </si>
  <si>
    <t>762895000R00</t>
  </si>
  <si>
    <t>Spojovací prostředky pro montáž stropů</t>
  </si>
  <si>
    <t>196</t>
  </si>
  <si>
    <t>762911121R00</t>
  </si>
  <si>
    <t>Impregnace řeziva tlakovakuová</t>
  </si>
  <si>
    <t>197</t>
  </si>
  <si>
    <t>998762202R00</t>
  </si>
  <si>
    <t>Přesun hmot pro tesařské konstrukce, výšky do 12 m</t>
  </si>
  <si>
    <t>198</t>
  </si>
  <si>
    <t>764927105R00</t>
  </si>
  <si>
    <t>Zhotovení (výroba) a montáž oplechování parapetů z lakovaného plechu včetně rohů rš 330 mm - KD1</t>
  </si>
  <si>
    <t>764_</t>
  </si>
  <si>
    <t>199</t>
  </si>
  <si>
    <t>764928304R00</t>
  </si>
  <si>
    <t>Zhotovení (výroba) a montáž oplechování zdí z lakovaného plechu, rš 500 mm - KD2</t>
  </si>
  <si>
    <t>200</t>
  </si>
  <si>
    <t>764928303</t>
  </si>
  <si>
    <t>Zhotovení (výroba) a montáž oplechování zdí z lakovaného plechu, rš 450 mm - KD3</t>
  </si>
  <si>
    <t>201</t>
  </si>
  <si>
    <t>764908105R00</t>
  </si>
  <si>
    <t>Žlab podokapní půlkruhový, velikost 150 mm - KD5</t>
  </si>
  <si>
    <t>202</t>
  </si>
  <si>
    <t>764908102R00</t>
  </si>
  <si>
    <t>Kotlík žlabový kónický, vel.žlabu 150 mm - KD5</t>
  </si>
  <si>
    <t>203</t>
  </si>
  <si>
    <t>764908109R00</t>
  </si>
  <si>
    <t>Odpadní trouby kruhové, D 100 mm - KD4</t>
  </si>
  <si>
    <t>204</t>
  </si>
  <si>
    <t>764908110R00</t>
  </si>
  <si>
    <t>Odpadní trouby kruhové, D 125 mm - KD4</t>
  </si>
  <si>
    <t>205</t>
  </si>
  <si>
    <t>764454293R00</t>
  </si>
  <si>
    <t>Montáž kolena kruhového - KD4</t>
  </si>
  <si>
    <t>206</t>
  </si>
  <si>
    <t>28341086-1</t>
  </si>
  <si>
    <t>Koleno svodu 60° DN 100</t>
  </si>
  <si>
    <t>207</t>
  </si>
  <si>
    <t>28341087-1</t>
  </si>
  <si>
    <t>Koleno svodu 60° DN 125</t>
  </si>
  <si>
    <t>208</t>
  </si>
  <si>
    <t>764454292R00</t>
  </si>
  <si>
    <t>Montáž zděře kruhové a D+M kotevního třmenu svodu - KD4</t>
  </si>
  <si>
    <t>209</t>
  </si>
  <si>
    <t>55353044021-1</t>
  </si>
  <si>
    <t>Objímka d 125 mm</t>
  </si>
  <si>
    <t>210</t>
  </si>
  <si>
    <t>55353044011-1</t>
  </si>
  <si>
    <t>Objímka d 100 mm</t>
  </si>
  <si>
    <t>211</t>
  </si>
  <si>
    <t>764352292R00</t>
  </si>
  <si>
    <t>Montáž háků půlkruhových - KD5</t>
  </si>
  <si>
    <t>212</t>
  </si>
  <si>
    <t>55353800</t>
  </si>
  <si>
    <t>Hák žlabový</t>
  </si>
  <si>
    <t>213</t>
  </si>
  <si>
    <t>764352294R00</t>
  </si>
  <si>
    <t>Montáž čel žlabů půlkruhových - KD5</t>
  </si>
  <si>
    <t>214</t>
  </si>
  <si>
    <t>553523023</t>
  </si>
  <si>
    <t>Čelo žlabu půlkruhového rš 330 pozink-lak</t>
  </si>
  <si>
    <t>215</t>
  </si>
  <si>
    <t>998764202R00</t>
  </si>
  <si>
    <t>Přesun hmot pro klempířské konstr., výšky do 12 m</t>
  </si>
  <si>
    <t>216</t>
  </si>
  <si>
    <t>766662312R00</t>
  </si>
  <si>
    <t>Montáž dveří do rámu, z tvr.dřeva, 1kř. do 80 cm, vč. D+M rámu - DD13</t>
  </si>
  <si>
    <t>766_</t>
  </si>
  <si>
    <t>217</t>
  </si>
  <si>
    <t>61174102</t>
  </si>
  <si>
    <t>Dveře vchodové plné 1kř. palubkové 800 x 1970 mm</t>
  </si>
  <si>
    <t>218</t>
  </si>
  <si>
    <t>766669117R00</t>
  </si>
  <si>
    <t>Dokování samozavírače na ocelovou zárubeň - DD12, DD14, OD8</t>
  </si>
  <si>
    <t>219</t>
  </si>
  <si>
    <t>54917045-1</t>
  </si>
  <si>
    <t>Zavírač dveří</t>
  </si>
  <si>
    <t>220</t>
  </si>
  <si>
    <t>766660036RA0</t>
  </si>
  <si>
    <t>Montáž dveří a obložkové zárubně šířky 90 cm - DD15</t>
  </si>
  <si>
    <t>221</t>
  </si>
  <si>
    <t>611601204</t>
  </si>
  <si>
    <t>Dveře vnitřní plné 1-křídlé 900 x 1970 mm, zámek, klika</t>
  </si>
  <si>
    <t>222</t>
  </si>
  <si>
    <t>61181408</t>
  </si>
  <si>
    <t>Zárubeň obložková 1-křídlá 900 x 1970 mm</t>
  </si>
  <si>
    <t>223</t>
  </si>
  <si>
    <t>766660034RA0</t>
  </si>
  <si>
    <t>Montáž dveří a obložkové zárubně šířky 80 cm - DD16</t>
  </si>
  <si>
    <t>224</t>
  </si>
  <si>
    <t>611601203</t>
  </si>
  <si>
    <t>Dveře vnitřní plné 1-křídlé 800 x 1970 mm, zámek, klika</t>
  </si>
  <si>
    <t>225</t>
  </si>
  <si>
    <t>61181407</t>
  </si>
  <si>
    <t>Zárubeň obložková 1-křídlá 800 x 1970 mm</t>
  </si>
  <si>
    <t>226</t>
  </si>
  <si>
    <t>766660032RA0</t>
  </si>
  <si>
    <t>Montáž dveří a obložkové zárubně šířky 70 cm - DD17</t>
  </si>
  <si>
    <t>227</t>
  </si>
  <si>
    <t>611601202</t>
  </si>
  <si>
    <t>Dveře vnitřní plné 1-křídlé 700 x 1970 mm, zámek, klika</t>
  </si>
  <si>
    <t>228</t>
  </si>
  <si>
    <t>61181406</t>
  </si>
  <si>
    <t>Zárubeň obložková 1-křídlá 700 x 1970 mm</t>
  </si>
  <si>
    <t>229</t>
  </si>
  <si>
    <t>766660030RA0</t>
  </si>
  <si>
    <t>Montáž dveří a obložkové zárubně šířky 60 cm - DD18</t>
  </si>
  <si>
    <t>230</t>
  </si>
  <si>
    <t>611601201</t>
  </si>
  <si>
    <t>Dveře vnitřní plné 1-křídlé 600 x 1970 mm, zámek, klika</t>
  </si>
  <si>
    <t>231</t>
  </si>
  <si>
    <t>61181405</t>
  </si>
  <si>
    <t>Zárubeň obložková 1-křídlá 600 x 1970 mm</t>
  </si>
  <si>
    <t>232</t>
  </si>
  <si>
    <t>766660110RAE</t>
  </si>
  <si>
    <t>Dveře protipožární jednokřídlové šířky 800 mm, dřevěné plné EI 30, 800 x 1970 mm, klika + zámek - DD12, DD14</t>
  </si>
  <si>
    <t>233</t>
  </si>
  <si>
    <t>766629301R00</t>
  </si>
  <si>
    <t>Montáž oken plastových plochy do 1,50 m2</t>
  </si>
  <si>
    <t>234</t>
  </si>
  <si>
    <t>611438001</t>
  </si>
  <si>
    <t>Okno plastové jednokřídlé 1000 x 1250 mm OS - OD7</t>
  </si>
  <si>
    <t>235</t>
  </si>
  <si>
    <t>611438002</t>
  </si>
  <si>
    <t>Okno plastové jednokřídlé 500 x 600 mm O - OD9</t>
  </si>
  <si>
    <t>236</t>
  </si>
  <si>
    <t>611438003</t>
  </si>
  <si>
    <t>Okno plastové jednokřídlé 750 x 400 mm S - OD11</t>
  </si>
  <si>
    <t>237</t>
  </si>
  <si>
    <t>766629302R00</t>
  </si>
  <si>
    <t>Montáž oken plastových plochy do 2,70 m2</t>
  </si>
  <si>
    <t>238</t>
  </si>
  <si>
    <t>61143600</t>
  </si>
  <si>
    <t>Okno plastové 2křídlové 1480 x 1250 mm O/OS - OD6</t>
  </si>
  <si>
    <t>239</t>
  </si>
  <si>
    <t>61143601</t>
  </si>
  <si>
    <t>Okno plastové 2křídlové 1500 x 1450 mm O/OS - OD4</t>
  </si>
  <si>
    <t>240</t>
  </si>
  <si>
    <t>61143602</t>
  </si>
  <si>
    <t>Okno plastové 2křídlové 1800 x 1200 mm O/OS - OD5</t>
  </si>
  <si>
    <t>241</t>
  </si>
  <si>
    <t>766629303R00</t>
  </si>
  <si>
    <t>Montáž oken plastových plochy do 4,50 m2</t>
  </si>
  <si>
    <t>242</t>
  </si>
  <si>
    <t>611430001</t>
  </si>
  <si>
    <t>Okno plastové 3křídlové 2050 x 1450 mm O/OS - OD1</t>
  </si>
  <si>
    <t>243</t>
  </si>
  <si>
    <t>611430002</t>
  </si>
  <si>
    <t>Okno plastové 3křídlové 2000 x 1450 mm O/OS - OD3</t>
  </si>
  <si>
    <t>244</t>
  </si>
  <si>
    <t>766661122</t>
  </si>
  <si>
    <t>Montáž dveří otevíravých 1kř.nad 0,8 m</t>
  </si>
  <si>
    <t>245</t>
  </si>
  <si>
    <t>61173100-1</t>
  </si>
  <si>
    <t>Dveře vchodové plastové 1100 x 2100 mm, panik. zámek, klika, okop. plech - OD8</t>
  </si>
  <si>
    <t>246</t>
  </si>
  <si>
    <t>61173100-2</t>
  </si>
  <si>
    <t>Dveře jednokřídlé plastové 900 x 2000 mm, zámek, klika, okop. plech - OD10</t>
  </si>
  <si>
    <t>247</t>
  </si>
  <si>
    <t>766629304R00</t>
  </si>
  <si>
    <t>Montáž balkónových dveří plastových vč. okna</t>
  </si>
  <si>
    <t>248</t>
  </si>
  <si>
    <t>61143252-1</t>
  </si>
  <si>
    <t>Dveře balkonové plastové 1křídlové 1050 x 2340 mm, panik. zámek, klika, O + okno 1křídlové 1000 x 1450 mm, OS - OD2</t>
  </si>
  <si>
    <t>249</t>
  </si>
  <si>
    <t>766601216RT3</t>
  </si>
  <si>
    <t>Těsnění oken.spáry, ostění, 1x vnitřní, 1x vnější vč. pásek</t>
  </si>
  <si>
    <t>250</t>
  </si>
  <si>
    <t>998766201R00</t>
  </si>
  <si>
    <t>Přesun hmot pro truhlářské konstr., výšky do 6 m</t>
  </si>
  <si>
    <t>251</t>
  </si>
  <si>
    <t>767222230-3</t>
  </si>
  <si>
    <t>D+M schodiště - ZD1</t>
  </si>
  <si>
    <t>767_</t>
  </si>
  <si>
    <t>252</t>
  </si>
  <si>
    <t>767222120-2</t>
  </si>
  <si>
    <t>D+M zábradlí - ZD2</t>
  </si>
  <si>
    <t>253</t>
  </si>
  <si>
    <t>767222110-1</t>
  </si>
  <si>
    <t>D+M zábradlí - ZD3</t>
  </si>
  <si>
    <t>254</t>
  </si>
  <si>
    <t>767222110-2</t>
  </si>
  <si>
    <t>D+M zábradlí - ZD4</t>
  </si>
  <si>
    <t>255</t>
  </si>
  <si>
    <t>767222110-3</t>
  </si>
  <si>
    <t>D+M zábradlí - ZD5</t>
  </si>
  <si>
    <t>256</t>
  </si>
  <si>
    <t>998767201R00</t>
  </si>
  <si>
    <t>Přesun hmot pro zámečnické konstr., výšky do 6 m</t>
  </si>
  <si>
    <t>257</t>
  </si>
  <si>
    <t>771101210RT1</t>
  </si>
  <si>
    <t>Penetrace podkladu pod dlažby vč.materiálu</t>
  </si>
  <si>
    <t>771_</t>
  </si>
  <si>
    <t>DS_77_</t>
  </si>
  <si>
    <t>258</t>
  </si>
  <si>
    <t>771575109RT6</t>
  </si>
  <si>
    <t>Montáž keramické dlažby, na tmel, spár. hmota</t>
  </si>
  <si>
    <t>259</t>
  </si>
  <si>
    <t>597642032</t>
  </si>
  <si>
    <t>Dlažba protiskluzová tl. 6 mm - výběr dle stavebníka</t>
  </si>
  <si>
    <t>260</t>
  </si>
  <si>
    <t>59764203-1</t>
  </si>
  <si>
    <t>Dlažba protiskluzová tl. 8 mm - výběr dle stavebníka</t>
  </si>
  <si>
    <t>261</t>
  </si>
  <si>
    <t>998771201R00</t>
  </si>
  <si>
    <t>Přesun hmot pro podlahy z dlaždic, výšky do 6 m</t>
  </si>
  <si>
    <t>262</t>
  </si>
  <si>
    <t>776101101R00</t>
  </si>
  <si>
    <t>Vysávání podlah prům.vysavačem pod povlak.podlahy</t>
  </si>
  <si>
    <t>776_</t>
  </si>
  <si>
    <t>263</t>
  </si>
  <si>
    <t>776511000RU4</t>
  </si>
  <si>
    <t>Lepení povlakových podlah z pásů pryžových včetně podlahoviny tl. 6,0 mm, soklíky</t>
  </si>
  <si>
    <t>264</t>
  </si>
  <si>
    <t>998776201R00</t>
  </si>
  <si>
    <t>Přesun hmot pro podlahy povlakové, výšky do 6 m</t>
  </si>
  <si>
    <t>265</t>
  </si>
  <si>
    <t>781101111R00</t>
  </si>
  <si>
    <t>Vyrovnání podkladu maltou ze SMS tl. do 7 mm</t>
  </si>
  <si>
    <t>781_</t>
  </si>
  <si>
    <t>DS_78_</t>
  </si>
  <si>
    <t>266</t>
  </si>
  <si>
    <t>781101141R00</t>
  </si>
  <si>
    <t>Hydroizolační stěrka jednovrstvá pod obklady</t>
  </si>
  <si>
    <t>267</t>
  </si>
  <si>
    <t>781101210RT1</t>
  </si>
  <si>
    <t>Penetrace podkladu pod obklady, penetrační nátěr</t>
  </si>
  <si>
    <t>268</t>
  </si>
  <si>
    <t>781475114RT6</t>
  </si>
  <si>
    <t>Obklad vnitřní stěn keramický, do tmele, 20x20 cm, lepidlo, spárovací hmota, lišty</t>
  </si>
  <si>
    <t>269</t>
  </si>
  <si>
    <t>597813604</t>
  </si>
  <si>
    <t>Obkládačka 200 x 200 mm - dle výběru investora</t>
  </si>
  <si>
    <t>270</t>
  </si>
  <si>
    <t>998781201R00</t>
  </si>
  <si>
    <t>Přesun hmot pro obklady keramické, výšky do 6 m</t>
  </si>
  <si>
    <t>271</t>
  </si>
  <si>
    <t>783671103R00</t>
  </si>
  <si>
    <t>Nátěr polyuretanový truhlářských výrobků 3x lazur</t>
  </si>
  <si>
    <t>783_</t>
  </si>
  <si>
    <t>272</t>
  </si>
  <si>
    <t>783122710R00</t>
  </si>
  <si>
    <t>Nátěr syntetický OK "A" základní</t>
  </si>
  <si>
    <t>273</t>
  </si>
  <si>
    <t>783812190R00</t>
  </si>
  <si>
    <t>Nátěr olejový omítek stěn, napuštění</t>
  </si>
  <si>
    <t>274</t>
  </si>
  <si>
    <t>784511010RT1</t>
  </si>
  <si>
    <t>Nástřik omítek interiérů  bílou barvou včetně nástřiku penetrace</t>
  </si>
  <si>
    <t>784_</t>
  </si>
  <si>
    <t>275</t>
  </si>
  <si>
    <t>784011222RT2</t>
  </si>
  <si>
    <t>Zakrytí podlah, včetně odstranění, včetně papírové lepenky</t>
  </si>
  <si>
    <t>276</t>
  </si>
  <si>
    <t>784111701R00</t>
  </si>
  <si>
    <t>Penetrace podkladu nátěrem sádrokarton 1x</t>
  </si>
  <si>
    <t>277</t>
  </si>
  <si>
    <t>784115712R00</t>
  </si>
  <si>
    <t>Malba sádrokarton, bílá, bez penetrace, 2 x</t>
  </si>
  <si>
    <t>278</t>
  </si>
  <si>
    <t>784111201R00</t>
  </si>
  <si>
    <t>Penetrace podkladu nátěrem 1 x</t>
  </si>
  <si>
    <t>279</t>
  </si>
  <si>
    <t>784115412R00</t>
  </si>
  <si>
    <t>Malba bílá, bez penetrace, 2 x</t>
  </si>
  <si>
    <t>280</t>
  </si>
  <si>
    <t>786622211RT2</t>
  </si>
  <si>
    <t>Žaluzie horizontální vnitřní AL lamely, včetně dodávky žaluzie</t>
  </si>
  <si>
    <t>786_</t>
  </si>
  <si>
    <t>281</t>
  </si>
  <si>
    <t>998786201R00</t>
  </si>
  <si>
    <t>Přesun hmot pro zastiň. techniku, výšky do 6 m</t>
  </si>
  <si>
    <t>282</t>
  </si>
  <si>
    <t>787340430R00</t>
  </si>
  <si>
    <t>Zasklení střech - SD1</t>
  </si>
  <si>
    <t>787_</t>
  </si>
  <si>
    <t>283</t>
  </si>
  <si>
    <t>283189103</t>
  </si>
  <si>
    <t>Stříška vchodová rovná, 1600 x 950 mm</t>
  </si>
  <si>
    <t>284</t>
  </si>
  <si>
    <t>998787201R00</t>
  </si>
  <si>
    <t>Přesun hmot pro zasklívání, výšky do 6 m</t>
  </si>
  <si>
    <t>285</t>
  </si>
  <si>
    <t>831350012RAB</t>
  </si>
  <si>
    <t>Kanalizace z trub PVC hrdlových D 160 mm - dešťová kanalizace přepojení (zemní práce, materiál, zásyp)</t>
  </si>
  <si>
    <t>83_</t>
  </si>
  <si>
    <t>DS_8_</t>
  </si>
  <si>
    <t>286</t>
  </si>
  <si>
    <t>877353121RT7</t>
  </si>
  <si>
    <t>Montáž PVC tvarovek odboč. plast. gum. kroužek DN 200 včetně dodávky odbočky PVC 160/160 mm</t>
  </si>
  <si>
    <t>87_</t>
  </si>
  <si>
    <t>287</t>
  </si>
  <si>
    <t>877353122R00</t>
  </si>
  <si>
    <t>Montáž přesuvek z plastu, gumový kroužek, DN 200</t>
  </si>
  <si>
    <t>288</t>
  </si>
  <si>
    <t>28651812.A</t>
  </si>
  <si>
    <t>Přesuvka PVC kanalizační 160</t>
  </si>
  <si>
    <t>289</t>
  </si>
  <si>
    <t>877355121R00</t>
  </si>
  <si>
    <t>Výřez a montáž tvarovky z plastu na potrubí DN 200</t>
  </si>
  <si>
    <t>290</t>
  </si>
  <si>
    <t>894422111R00</t>
  </si>
  <si>
    <t>Osazení betonových dílců šachet - Š1</t>
  </si>
  <si>
    <t>89_</t>
  </si>
  <si>
    <t>291</t>
  </si>
  <si>
    <t>55243786</t>
  </si>
  <si>
    <t>Stupadlo žebříkové  dle DIN 19555</t>
  </si>
  <si>
    <t>292</t>
  </si>
  <si>
    <t>552433404</t>
  </si>
  <si>
    <t>Poklop litinový B125</t>
  </si>
  <si>
    <t>293</t>
  </si>
  <si>
    <t>59224354</t>
  </si>
  <si>
    <t>Deska zákrytová šachtová 100-63/17</t>
  </si>
  <si>
    <t>294</t>
  </si>
  <si>
    <t>59224368.A</t>
  </si>
  <si>
    <t>Dno šachtové přímé 100/100</t>
  </si>
  <si>
    <t>295</t>
  </si>
  <si>
    <t>91666111-1</t>
  </si>
  <si>
    <t>Osazení obrubníků do lože z C 25/30 včetně obrubníku 80x250x1000 mm</t>
  </si>
  <si>
    <t>91_</t>
  </si>
  <si>
    <t>DS_9_</t>
  </si>
  <si>
    <t>296</t>
  </si>
  <si>
    <t>917762114RT7</t>
  </si>
  <si>
    <t>Osazení ležatého obrubníku betonového, s boční opěrou, do lože z betonu C 25/30, včetně obrubníku</t>
  </si>
  <si>
    <t>297</t>
  </si>
  <si>
    <t>917862114RT7</t>
  </si>
  <si>
    <t>Osazení stojatého obrubníku betonového, s boční opěrou, do lože z betonu C 25/30 včetně obrubníku</t>
  </si>
  <si>
    <t>298</t>
  </si>
  <si>
    <t>919735114R00</t>
  </si>
  <si>
    <t>Řezání stávajícího živičného krytu tl. 15 - 20 cm</t>
  </si>
  <si>
    <t>299</t>
  </si>
  <si>
    <t>941941031R00</t>
  </si>
  <si>
    <t>Montáž lešení leh.řad.s podlahami,š.do 1 m, H 10 m</t>
  </si>
  <si>
    <t>94_</t>
  </si>
  <si>
    <t>300</t>
  </si>
  <si>
    <t>941941191RT2</t>
  </si>
  <si>
    <t>Příplatek za každý měsíc použití lešení k pol.1031</t>
  </si>
  <si>
    <t>301</t>
  </si>
  <si>
    <t>941941831R00</t>
  </si>
  <si>
    <t>Demontáž lešení leh.řad.s podlahami,š.1 m, H 10 m</t>
  </si>
  <si>
    <t>302</t>
  </si>
  <si>
    <t>941941502R00</t>
  </si>
  <si>
    <t>Doprava lešení pronaj-dovoz a odvoz sady do 250m2</t>
  </si>
  <si>
    <t>km</t>
  </si>
  <si>
    <t>303</t>
  </si>
  <si>
    <t>941955002R00</t>
  </si>
  <si>
    <t>Lešení lehké pomocné, výška podlahy do 1,9 m</t>
  </si>
  <si>
    <t>304</t>
  </si>
  <si>
    <t>954113104</t>
  </si>
  <si>
    <t>SDK obklad sloupů 4str. 3x RFI tl. 12,5 mm</t>
  </si>
  <si>
    <t>95_</t>
  </si>
  <si>
    <t>305</t>
  </si>
  <si>
    <t>952901111R00</t>
  </si>
  <si>
    <t>Vyčištění budov o výšce podlaží do 4 m - úklid</t>
  </si>
  <si>
    <t>306</t>
  </si>
  <si>
    <t>953941312R00</t>
  </si>
  <si>
    <t>Osazení požárního hasicího přístroje na stěnu</t>
  </si>
  <si>
    <t>307</t>
  </si>
  <si>
    <t>44984114</t>
  </si>
  <si>
    <t>Přístroj hasicí práškový 21A/113B</t>
  </si>
  <si>
    <t>308</t>
  </si>
  <si>
    <t>44984142</t>
  </si>
  <si>
    <t>Přístroj hasicí sněhový 55B</t>
  </si>
  <si>
    <t>309</t>
  </si>
  <si>
    <t>310</t>
  </si>
  <si>
    <t>968061112R00</t>
  </si>
  <si>
    <t>Vyvěšení dřevěných a plastových okenních křídel pl. do 1,5 m2</t>
  </si>
  <si>
    <t>96_</t>
  </si>
  <si>
    <t>311</t>
  </si>
  <si>
    <t>968062244R00</t>
  </si>
  <si>
    <t>Vybourání dřevěných rámů oken pl. 1 m2</t>
  </si>
  <si>
    <t>312</t>
  </si>
  <si>
    <t>968062245R00</t>
  </si>
  <si>
    <t>Vybourání dřevěných rámů oken pl. 2 m2</t>
  </si>
  <si>
    <t>313</t>
  </si>
  <si>
    <t>968062246R00</t>
  </si>
  <si>
    <t>Vybourání dřevěných rámů oken pl. 4 m2</t>
  </si>
  <si>
    <t>314</t>
  </si>
  <si>
    <t>968061125R00</t>
  </si>
  <si>
    <t>Vyvěšení dřevěných a plastových dveřních křídel pl. do 2 m2</t>
  </si>
  <si>
    <t>315</t>
  </si>
  <si>
    <t>968061126R00</t>
  </si>
  <si>
    <t>Vyvěšení dřevěných a plastových dveřních křídel pl. nad 2 m2</t>
  </si>
  <si>
    <t>316</t>
  </si>
  <si>
    <t>968062455R00</t>
  </si>
  <si>
    <t>Vybourání dřevěných dveřních zárubní pl. do 2 m2</t>
  </si>
  <si>
    <t>317</t>
  </si>
  <si>
    <t>7625228121</t>
  </si>
  <si>
    <t>Demontáž podlah s polštáři z prken do celkové tl. 100 mm</t>
  </si>
  <si>
    <t>318</t>
  </si>
  <si>
    <t>775531800RT1</t>
  </si>
  <si>
    <t>Demontáž parket lepených včetně lišt a podkladu tl. 20 mm</t>
  </si>
  <si>
    <t>319</t>
  </si>
  <si>
    <t>979990162R00</t>
  </si>
  <si>
    <t>Poplatek za uložení suti - dřevo+sklo, skupina odpadu 170904</t>
  </si>
  <si>
    <t>320</t>
  </si>
  <si>
    <t>971033631R00</t>
  </si>
  <si>
    <t>Vybourání otv. zeď cihel. pl.4 m2, tl.15 cm, MVC</t>
  </si>
  <si>
    <t>321</t>
  </si>
  <si>
    <t>963042819R00</t>
  </si>
  <si>
    <t>Bourání schodišťových stupňů betonových</t>
  </si>
  <si>
    <t>322</t>
  </si>
  <si>
    <t>965042141RT2</t>
  </si>
  <si>
    <t>Bourání mazanin betonových tl. 10 cm, nad 4 m2 ručně</t>
  </si>
  <si>
    <t>323</t>
  </si>
  <si>
    <t>970041200R00</t>
  </si>
  <si>
    <t>Vrtání jádrové do prostého betonu do D 200 mm</t>
  </si>
  <si>
    <t>324</t>
  </si>
  <si>
    <t>97205416-1</t>
  </si>
  <si>
    <t>Vybourání otvorů ve stropech ŽB plochy do 0,0225 m2, tl. nad 250 mm</t>
  </si>
  <si>
    <t>325</t>
  </si>
  <si>
    <t>979999978R00</t>
  </si>
  <si>
    <t>Poplatek za recyklaci, beton lehce vyztužený, kusovost do 1600 cm2 (skup.170101)</t>
  </si>
  <si>
    <t>326</t>
  </si>
  <si>
    <t>962031113R00</t>
  </si>
  <si>
    <t>Bourání příček z cihel pálených plných tl. 65 mm</t>
  </si>
  <si>
    <t>327</t>
  </si>
  <si>
    <t>962031116R00</t>
  </si>
  <si>
    <t>Bourání příček z cihel pálených plných tl. 140 mm</t>
  </si>
  <si>
    <t>328</t>
  </si>
  <si>
    <t>962032231R00</t>
  </si>
  <si>
    <t>Bourání zdiva z cihel pálených na MVC</t>
  </si>
  <si>
    <t>329</t>
  </si>
  <si>
    <t>974100020RA0</t>
  </si>
  <si>
    <t>Vysekání rýh ve zdivu z cihel, 10 x 10 cm</t>
  </si>
  <si>
    <t>330</t>
  </si>
  <si>
    <t>979999983R00</t>
  </si>
  <si>
    <t>Poplatek za recyklaci cihel kusovost do 1600 cm2 (skup.170102)</t>
  </si>
  <si>
    <t>331</t>
  </si>
  <si>
    <t>965081713RT2</t>
  </si>
  <si>
    <t>Bourání dlažeb keramických tl.10 mm, nad 1 m2</t>
  </si>
  <si>
    <t>332</t>
  </si>
  <si>
    <t>979999984R00</t>
  </si>
  <si>
    <t>Poplatek za recyklaci - tašky, keramika, do 1600 cm2 (skup.170103)</t>
  </si>
  <si>
    <t>333</t>
  </si>
  <si>
    <t>764321819</t>
  </si>
  <si>
    <t>Demontáž oplechování, rš 450 mm</t>
  </si>
  <si>
    <t>334</t>
  </si>
  <si>
    <t>764321821R00</t>
  </si>
  <si>
    <t>Demontáž oplechování, rš 500 mm, do 45°</t>
  </si>
  <si>
    <t>335</t>
  </si>
  <si>
    <t>764351841R00</t>
  </si>
  <si>
    <t>Demontáž žlabů oblouk., rš 330 mm, do 45° vč. čel</t>
  </si>
  <si>
    <t>336</t>
  </si>
  <si>
    <t>764351837R00</t>
  </si>
  <si>
    <t>Demontáž háků, sklon do 45°</t>
  </si>
  <si>
    <t>337</t>
  </si>
  <si>
    <t>764359811R00</t>
  </si>
  <si>
    <t>Demontáž kotlíku, sklon do 45°</t>
  </si>
  <si>
    <t>338</t>
  </si>
  <si>
    <t>764453844R00</t>
  </si>
  <si>
    <t>Demontáž kolen</t>
  </si>
  <si>
    <t>339</t>
  </si>
  <si>
    <t>764454801R00</t>
  </si>
  <si>
    <t>Demontáž odpadních trub kruhových, D 75 a 100 mm vč. objímek</t>
  </si>
  <si>
    <t>340</t>
  </si>
  <si>
    <t>764454802</t>
  </si>
  <si>
    <t>Demontáž odpadních trub kruhových, D 125 mm vč. objímek</t>
  </si>
  <si>
    <t>341</t>
  </si>
  <si>
    <t>979951131R00</t>
  </si>
  <si>
    <t>Výkup kovů - hliník, plechy</t>
  </si>
  <si>
    <t>342</t>
  </si>
  <si>
    <t>776511820RT1</t>
  </si>
  <si>
    <t>Odstranění PVC a koberců lepených s podložkou</t>
  </si>
  <si>
    <t>343</t>
  </si>
  <si>
    <t>979990181R00</t>
  </si>
  <si>
    <t>Poplatek za uložení suti - PVC podlahová krytina, skupina odpadu 200307</t>
  </si>
  <si>
    <t>344</t>
  </si>
  <si>
    <t>973022251R00</t>
  </si>
  <si>
    <t>Vysekání kapes zeď kamenná, smíšená pl. 0,1 m2, hl. do 30 cm</t>
  </si>
  <si>
    <t>345</t>
  </si>
  <si>
    <t>979999973R00</t>
  </si>
  <si>
    <t>Poplatek za uložení, zemina a kamení, (skup.170504)</t>
  </si>
  <si>
    <t>346</t>
  </si>
  <si>
    <t>979086213R00</t>
  </si>
  <si>
    <t>Nakládání vybouraných hmot na dopravní prostředek</t>
  </si>
  <si>
    <t>347</t>
  </si>
  <si>
    <t>979082111R00</t>
  </si>
  <si>
    <t>Vnitrostaveništní doprava</t>
  </si>
  <si>
    <t>348</t>
  </si>
  <si>
    <t>979081121R00</t>
  </si>
  <si>
    <t>Příplatek k odvozu za každý další 1 km</t>
  </si>
  <si>
    <t>349</t>
  </si>
  <si>
    <t>979081111R00</t>
  </si>
  <si>
    <t>Odvoz suti a vybour. hmot na skládku do 1 km</t>
  </si>
  <si>
    <t>350</t>
  </si>
  <si>
    <t>979011111R00</t>
  </si>
  <si>
    <t>Svislá doprava suti a vybour. hmot</t>
  </si>
  <si>
    <t>351</t>
  </si>
  <si>
    <t>M22</t>
  </si>
  <si>
    <t>Elektroinstalace - viz samostatný rozpočet</t>
  </si>
  <si>
    <t>M21_</t>
  </si>
  <si>
    <t>352</t>
  </si>
  <si>
    <t>013002VRN</t>
  </si>
  <si>
    <t>Projektové práce - výrobní dokumentace</t>
  </si>
  <si>
    <t>Soubor</t>
  </si>
  <si>
    <t>01VRN_</t>
  </si>
  <si>
    <t>DS_Â _</t>
  </si>
  <si>
    <t>353</t>
  </si>
  <si>
    <t>Projektové práce - DSP</t>
  </si>
  <si>
    <t>354</t>
  </si>
  <si>
    <t>030001VRN</t>
  </si>
  <si>
    <t>03VRN_</t>
  </si>
  <si>
    <t>355</t>
  </si>
  <si>
    <t>043002VRN</t>
  </si>
  <si>
    <t>Zkoušky</t>
  </si>
  <si>
    <t>04VRN_</t>
  </si>
  <si>
    <t>356</t>
  </si>
  <si>
    <t>075002VRN</t>
  </si>
  <si>
    <t>Ochraná pásma objektů a inženýrských sítí</t>
  </si>
  <si>
    <t>07VRN_</t>
  </si>
  <si>
    <t>357</t>
  </si>
  <si>
    <t>072002VRN</t>
  </si>
  <si>
    <t>Silniční provoz - DIO, DIR a dopravní značení</t>
  </si>
  <si>
    <t>358</t>
  </si>
  <si>
    <t>079002VRN</t>
  </si>
  <si>
    <t>Ostatní provozní vlivy</t>
  </si>
  <si>
    <t>Výkaz výměr</t>
  </si>
  <si>
    <t>Objekt</t>
  </si>
  <si>
    <t>Potřebné množství</t>
  </si>
  <si>
    <t>N</t>
  </si>
  <si>
    <t>0,6*0,7*0,85</t>
  </si>
  <si>
    <t>1.1.5</t>
  </si>
  <si>
    <t>(7,5-1,5)*1,2*0,3</t>
  </si>
  <si>
    <t>stěna mezi 2.1.8 a 2.2.9</t>
  </si>
  <si>
    <t>1,5*2,7*1,5</t>
  </si>
  <si>
    <t>(13+1,3+7,8+5,7)-16,15*0,6*0,6</t>
  </si>
  <si>
    <t>vnitřní kanalizace</t>
  </si>
  <si>
    <t>0,6*1*1,5</t>
  </si>
  <si>
    <t>0,6*1*1,2*2+1,95*1,2*0,6</t>
  </si>
  <si>
    <t>SD3</t>
  </si>
  <si>
    <t>16,15*0,6*1</t>
  </si>
  <si>
    <t>vnější kanalizace</t>
  </si>
  <si>
    <t>13,434/2</t>
  </si>
  <si>
    <t>0,3*1,1*(6,7-1,5)</t>
  </si>
  <si>
    <t>chodník</t>
  </si>
  <si>
    <t>0,3*1,6*(2,4+8,9+2,33+4+1,6+1,1)+1,1*1,2*0,3</t>
  </si>
  <si>
    <t>2,45*(6,75*3+1,1)*0,6</t>
  </si>
  <si>
    <t>parkoviště</t>
  </si>
  <si>
    <t>43,2549/2</t>
  </si>
  <si>
    <t>(pi*0,95^2*1,5)</t>
  </si>
  <si>
    <t>šachta</t>
  </si>
  <si>
    <t>(pi*0,95^2*1,5)/2</t>
  </si>
  <si>
    <t>1,5*4*2,7</t>
  </si>
  <si>
    <t>30,578</t>
  </si>
  <si>
    <t>uzavřené prostory</t>
  </si>
  <si>
    <t>8,592</t>
  </si>
  <si>
    <t>30,578+13,434+43,2549+4,25293</t>
  </si>
  <si>
    <t>91,51983-14,88168</t>
  </si>
  <si>
    <t>3,744-0,3*1*1,5-0,3*1*1,2*2</t>
  </si>
  <si>
    <t>6,567-(0,4*0,4*7,8+0,4*0,8*1,5+0,4*1*1,85)</t>
  </si>
  <si>
    <t>(pi*0,95^2*1,5)-(pi*0,65^2*1,4)</t>
  </si>
  <si>
    <t>16,15*0,6*0,6</t>
  </si>
  <si>
    <t>1,4*0,7*1,2*2</t>
  </si>
  <si>
    <t>pod schodišti - suť</t>
  </si>
  <si>
    <t>36,2*0,6*0,37</t>
  </si>
  <si>
    <t>kanalizace</t>
  </si>
  <si>
    <t>16,315*0,6</t>
  </si>
  <si>
    <t>1,95*1,2</t>
  </si>
  <si>
    <t>1,1*(6,7+1,1-1,5)</t>
  </si>
  <si>
    <t>1,6*(2,4+8,9+1,6+4+2,33)</t>
  </si>
  <si>
    <t>2,45*(6,75*3+1,1)+1,2*1,1</t>
  </si>
  <si>
    <t>(pi*0,65^2)</t>
  </si>
  <si>
    <t>(2,7-2,1)*0,85*0,7</t>
  </si>
  <si>
    <t>0,6*(0,85*2+0,7)</t>
  </si>
  <si>
    <t>3,04*0,1</t>
  </si>
  <si>
    <t>2.1.14, 2.1.15</t>
  </si>
  <si>
    <t>16,25*0,1</t>
  </si>
  <si>
    <t>2.1.7, 2.1.10-13</t>
  </si>
  <si>
    <t>3,04*18,2*1,08/1000</t>
  </si>
  <si>
    <t>16,25*18,2*1,2*1,08/1000</t>
  </si>
  <si>
    <t>0,1*1,95*1,2</t>
  </si>
  <si>
    <t>0,3*1*1,2*2</t>
  </si>
  <si>
    <t>1,525*0,93/2*1,13</t>
  </si>
  <si>
    <t>(pi*0,75^2*0,1)</t>
  </si>
  <si>
    <t>2,45*(6,75*3+1,1)*1,2</t>
  </si>
  <si>
    <t>1,5*2*10,4/1000</t>
  </si>
  <si>
    <t>PD1</t>
  </si>
  <si>
    <t>1,9*3*10,4/1000</t>
  </si>
  <si>
    <t>PD2</t>
  </si>
  <si>
    <t>1,9*10,4/1000</t>
  </si>
  <si>
    <t>PD5</t>
  </si>
  <si>
    <t>;ztratné 8%; 0,0088192</t>
  </si>
  <si>
    <t>2,4*3*12,9/1000</t>
  </si>
  <si>
    <t>5,7*50,5*1,08/1000</t>
  </si>
  <si>
    <t>;ztratné 8%; 0,0074304</t>
  </si>
  <si>
    <t>2,7*50,5/1000</t>
  </si>
  <si>
    <t>;ztratné 8%; 0,010908</t>
  </si>
  <si>
    <t>1,25</t>
  </si>
  <si>
    <t>0,25*0,2*2</t>
  </si>
  <si>
    <t>2,41*0,75*2</t>
  </si>
  <si>
    <t>3,89*(7,5-1)</t>
  </si>
  <si>
    <t>3,89*5,29-0,9*2,05</t>
  </si>
  <si>
    <t>3,89*(0,95+0,2+0,5+1)</t>
  </si>
  <si>
    <t>2,41*(1,7+2,8)-0,8*1,97</t>
  </si>
  <si>
    <t>3,89*(1,4+3,1-0,6-0,2)-0,8*1,97-0,9*1,97</t>
  </si>
  <si>
    <t>3,89*(2,85+1,7+1,585)-0,8*1,97*2</t>
  </si>
  <si>
    <t>3,89*(1,3+0,95+0,1+1,6*2+0,9)-0,7*1,97-0,6*1,97*2</t>
  </si>
  <si>
    <t>0,6*1,97</t>
  </si>
  <si>
    <t>3,89*(7,5-0,97-0,45-0,2-0,95)</t>
  </si>
  <si>
    <t>3,89*(1,2+0,3)-0,8*1,97</t>
  </si>
  <si>
    <t>1,525*0,93/2*2*2</t>
  </si>
  <si>
    <t>1,34*1,34*0,1</t>
  </si>
  <si>
    <t>1,34*1,34+0,1*1,34*2</t>
  </si>
  <si>
    <t>1,4*6*0,61*1,15*1,08/1000</t>
  </si>
  <si>
    <t>R10</t>
  </si>
  <si>
    <t>0,95*7*0,39*1,15*1,08/1000</t>
  </si>
  <si>
    <t>R8</t>
  </si>
  <si>
    <t>0,25*0,2*(0,3+5,29)</t>
  </si>
  <si>
    <t>věnec mezi m.č. 2.1.3 a 2.1.5</t>
  </si>
  <si>
    <t>(0,2+0,95)*0,3*0,25</t>
  </si>
  <si>
    <t>(0,3+5,29)*(0,25*2+0,2)</t>
  </si>
  <si>
    <t>(0,2+0,95)*(0,25*2+0,3)</t>
  </si>
  <si>
    <t>(6*4+1,25*2+1,6*2)*0,61*1,15*1,08/1000</t>
  </si>
  <si>
    <t>(0,8*23+1*5)*0,222*1,15*1,08/1000</t>
  </si>
  <si>
    <t>R6</t>
  </si>
  <si>
    <t>9,55+5,5+21,29+63+1,52+1,52+2,41</t>
  </si>
  <si>
    <t>C1N, C3N</t>
  </si>
  <si>
    <t>18,6+18,22+15,69+1,1+1,08+6,7+1,33+3</t>
  </si>
  <si>
    <t>C2N</t>
  </si>
  <si>
    <t>0,1*1,95*1,2+0,165*0,3/2*1,2*5*2</t>
  </si>
  <si>
    <t>0,3*0,32*1,13+0,1*1,5*1,13+0,24*0,3+0,138*0,3/2*4*1,13*2</t>
  </si>
  <si>
    <t>(1,15*1,95+1,05*1,55+1,05+1,55)*4,4*1,08/1000</t>
  </si>
  <si>
    <t>0,165*1,13*5*2</t>
  </si>
  <si>
    <t>1,13*0,138*2</t>
  </si>
  <si>
    <t>1,1*(6,7-1,5)</t>
  </si>
  <si>
    <t>1,6*(2,4+8,9+2,33+4+1,6+1,1)+1*1,2</t>
  </si>
  <si>
    <t>2,45*(6,75*3+1,1)</t>
  </si>
  <si>
    <t>36,2*0,6*0,1</t>
  </si>
  <si>
    <t>kanalizace - podsyp</t>
  </si>
  <si>
    <t>;ztratné 15%; 5,9172</t>
  </si>
  <si>
    <t>(6,7-1,5)</t>
  </si>
  <si>
    <t>(2,4+8,9+2,33+4+1,6+1,1)+1,2*2</t>
  </si>
  <si>
    <t>1,1*3</t>
  </si>
  <si>
    <t>2,45*(6,75*3+1,1)/(0,4*0,6)</t>
  </si>
  <si>
    <t>0,05208</t>
  </si>
  <si>
    <t>zaokrouhlení</t>
  </si>
  <si>
    <t>;ztratné 20%; 43,6</t>
  </si>
  <si>
    <t>8,05*2+6,75</t>
  </si>
  <si>
    <t>8,05*2+6,75*0,5</t>
  </si>
  <si>
    <t>4*0,5*6</t>
  </si>
  <si>
    <t>1.PP</t>
  </si>
  <si>
    <t>18+12,75+17,76+4,48</t>
  </si>
  <si>
    <t>1PP</t>
  </si>
  <si>
    <t>(11,22+17,97+19,92+1,48+1,82+3,1)*1,15</t>
  </si>
  <si>
    <t>E1N</t>
  </si>
  <si>
    <t>(2,39+18)*1,15</t>
  </si>
  <si>
    <t>E2N</t>
  </si>
  <si>
    <t>0,8+1,97*2*9</t>
  </si>
  <si>
    <t>0,9+1,97*2</t>
  </si>
  <si>
    <t>0,7+1,97*2</t>
  </si>
  <si>
    <t>0,6+1,97*2*5</t>
  </si>
  <si>
    <t>1,48+1,25*2</t>
  </si>
  <si>
    <t>1+1,25*2</t>
  </si>
  <si>
    <t>1,1+2,1*2</t>
  </si>
  <si>
    <t>0,5+0,6*2</t>
  </si>
  <si>
    <t>0,9+2*2</t>
  </si>
  <si>
    <t>0,75+0,4*2</t>
  </si>
  <si>
    <t>2,05+1,45*2*2</t>
  </si>
  <si>
    <t>1,05+1+2,34*2</t>
  </si>
  <si>
    <t>2+1,45*2</t>
  </si>
  <si>
    <t>1,5+1,45*2</t>
  </si>
  <si>
    <t>1,8+1,45*2</t>
  </si>
  <si>
    <t>3,615*2+25,285*2+18,7331*2+10,3085*2+9,269*2</t>
  </si>
  <si>
    <t>0,3*3+0,35*4*1+0,58*(0,8+1,97*2)+0,2*3+0,65*(2+1,45)*2+0,65*(1,5+1,45)*2</t>
  </si>
  <si>
    <t>14,7+0,16+13,73+0,16*2+0,16+0,65+5,29+0,3+3,3+0,3+5,39+0,21/2</t>
  </si>
  <si>
    <t>(0,16+0,65+5,29+0,3+3,3+0,3+5,39+0,21/2)*0,8</t>
  </si>
  <si>
    <t>(13,73+0,16*2)*0,8</t>
  </si>
  <si>
    <t>(0,16+1,95+1,8+3,255)*1,87</t>
  </si>
  <si>
    <t>(1,275+1,48+1,04+1+1,8)*0,8</t>
  </si>
  <si>
    <t>(0,16+0,65+5,29+0,3+3,3+0,3+5,39+0,21/2)*5,53-2*1,45-2,05*1,45*2-1,05*2,34-1*1,45</t>
  </si>
  <si>
    <t>(13,73+0,16*2)*0,8+(13,73+0,16*2)/2*4,28-1,5*1,45-0,8*1,97</t>
  </si>
  <si>
    <t>(14,7+0,16)*3,88-1,8*1,2-1,1*2,1-1,48*1,25-1*1,25</t>
  </si>
  <si>
    <t>0,16*(1*2+1,25*4+1,48*2+1,1+2,1*2+1,8*2+1,2*2+1,5*2+1,45*8+2*2+2,05*4+1,05+2,43*2)</t>
  </si>
  <si>
    <t>(1,48*1,25+1*1,25+1,1*2,1+0,5*0,6+0,9*2+0,75*0,4)*1,1</t>
  </si>
  <si>
    <t>(2,05*1,45*2+1,05*2,34+1*1,45+2*1,45+1,5*1,45+1,8*1,2)*1,1</t>
  </si>
  <si>
    <t>(160,57815+42,31055)/100*30</t>
  </si>
  <si>
    <t>160,57815+42,31055</t>
  </si>
  <si>
    <t>68,87</t>
  </si>
  <si>
    <t>6,1</t>
  </si>
  <si>
    <t>22,44</t>
  </si>
  <si>
    <t>38,75</t>
  </si>
  <si>
    <t>tl. 20 mm</t>
  </si>
  <si>
    <t>33,9</t>
  </si>
  <si>
    <t>63*0,05</t>
  </si>
  <si>
    <t>33,9*0,05</t>
  </si>
  <si>
    <t>3,04*0,05</t>
  </si>
  <si>
    <t>16,25*0,05</t>
  </si>
  <si>
    <t>63*1,35*1,2*1,08/1000</t>
  </si>
  <si>
    <t>33,9*1,35*1,2*1,08/1000</t>
  </si>
  <si>
    <t>3,04*1,35*1,08/1000</t>
  </si>
  <si>
    <t>16,25*1,35*1,2*1,08/1000</t>
  </si>
  <si>
    <t>1,48</t>
  </si>
  <si>
    <t>OD6</t>
  </si>
  <si>
    <t>OD7</t>
  </si>
  <si>
    <t>0,5</t>
  </si>
  <si>
    <t>OD9</t>
  </si>
  <si>
    <t>0,75</t>
  </si>
  <si>
    <t>OD11</t>
  </si>
  <si>
    <t>2,05*2</t>
  </si>
  <si>
    <t>OD1</t>
  </si>
  <si>
    <t>OD2</t>
  </si>
  <si>
    <t>OD3</t>
  </si>
  <si>
    <t>1,5</t>
  </si>
  <si>
    <t>OD4</t>
  </si>
  <si>
    <t>1,8</t>
  </si>
  <si>
    <t>OD5</t>
  </si>
  <si>
    <t>3,04</t>
  </si>
  <si>
    <t>16,25</t>
  </si>
  <si>
    <t>63*1,2</t>
  </si>
  <si>
    <t>33,9*1,2</t>
  </si>
  <si>
    <t>3,04*1,2</t>
  </si>
  <si>
    <t>16,25*1,2</t>
  </si>
  <si>
    <t>1105,8901</t>
  </si>
  <si>
    <t>1,2</t>
  </si>
  <si>
    <t>;ztratné 15%; 5,085</t>
  </si>
  <si>
    <t>;ztratné 15%; 12,3435</t>
  </si>
  <si>
    <t>(5+38,75)*1,2</t>
  </si>
  <si>
    <t>(9,55+5,5+21,29+63+1,52+1,52+2,41)*4</t>
  </si>
  <si>
    <t>(18,6+18,22+15,69+1,1+1,08+6,7+1,33+3)*3</t>
  </si>
  <si>
    <t>;ztratné 8%; 49,3056</t>
  </si>
  <si>
    <t>(9,55+5,5+21,29+63+1,52+1,52+2,41)*1,2</t>
  </si>
  <si>
    <t>(18,6+18,22+15,69+1,1+1,08+6,7+1,33+3)*1,2</t>
  </si>
  <si>
    <t>5,7*(0,22*2+0,21*2+0,213*2)</t>
  </si>
  <si>
    <t>5899,5637</t>
  </si>
  <si>
    <t>13+1,3+7,8</t>
  </si>
  <si>
    <t>5,7</t>
  </si>
  <si>
    <t>2,6</t>
  </si>
  <si>
    <t>4*0,8</t>
  </si>
  <si>
    <t>2,2</t>
  </si>
  <si>
    <t>0,4</t>
  </si>
  <si>
    <t>5*1</t>
  </si>
  <si>
    <t>8,46</t>
  </si>
  <si>
    <t>22,1+8,3+5,8+13,46</t>
  </si>
  <si>
    <t>565,1843</t>
  </si>
  <si>
    <t>2*(0,8+0,5)+0,5</t>
  </si>
  <si>
    <t>2*(4,5+0,6+1+3,1+3*1,1+0,5+4,3+5+2*1)+3,1+2*1,1+1,3+2,6+13,2+2</t>
  </si>
  <si>
    <t>3,1</t>
  </si>
  <si>
    <t>3,1+73</t>
  </si>
  <si>
    <t>957,0174</t>
  </si>
  <si>
    <t>5136,18</t>
  </si>
  <si>
    <t>C1N</t>
  </si>
  <si>
    <t>104,79*0,024</t>
  </si>
  <si>
    <t>3,7+3,3</t>
  </si>
  <si>
    <t>0,2*0,26*7</t>
  </si>
  <si>
    <t>0,2*0,26*(3,7+3,3)</t>
  </si>
  <si>
    <t>634,873</t>
  </si>
  <si>
    <t>3*2,1</t>
  </si>
  <si>
    <t>1*1,8</t>
  </si>
  <si>
    <t>2*1,5</t>
  </si>
  <si>
    <t>4*1,1</t>
  </si>
  <si>
    <t>1*0,75</t>
  </si>
  <si>
    <t>1*0,5</t>
  </si>
  <si>
    <t>2*6,1</t>
  </si>
  <si>
    <t>5,8</t>
  </si>
  <si>
    <t>4,8</t>
  </si>
  <si>
    <t>6,3</t>
  </si>
  <si>
    <t>2+6</t>
  </si>
  <si>
    <t>6+18</t>
  </si>
  <si>
    <t>711,7328</t>
  </si>
  <si>
    <t>DD12</t>
  </si>
  <si>
    <t>DD14</t>
  </si>
  <si>
    <t>OD8</t>
  </si>
  <si>
    <t>L</t>
  </si>
  <si>
    <t>P</t>
  </si>
  <si>
    <t>OD10</t>
  </si>
  <si>
    <t>4517,6908</t>
  </si>
  <si>
    <t>4,95*2+3,75</t>
  </si>
  <si>
    <t>2,1*2+2,6</t>
  </si>
  <si>
    <t>1,65*2*2</t>
  </si>
  <si>
    <t>1,85+1,8</t>
  </si>
  <si>
    <t>1540,8358</t>
  </si>
  <si>
    <t>1,13*(0,138+0,35)*4,5</t>
  </si>
  <si>
    <t>;ztratné 15%; 2,8935</t>
  </si>
  <si>
    <t>;ztratné 15%; 0,372222</t>
  </si>
  <si>
    <t>368,9694</t>
  </si>
  <si>
    <t>1573,1536</t>
  </si>
  <si>
    <t>2,5*(1,29*2+0,9*2)-0,6*1,97</t>
  </si>
  <si>
    <t>2.1.7</t>
  </si>
  <si>
    <t>2*0,7</t>
  </si>
  <si>
    <t>2.1.13</t>
  </si>
  <si>
    <t>2,5*(1,6*2+1,2*2)-0,7*1,97</t>
  </si>
  <si>
    <t>2.1.14</t>
  </si>
  <si>
    <t>2,5*(0,95*2+1,6*2)-0,6*1,97</t>
  </si>
  <si>
    <t>2.1.15</t>
  </si>
  <si>
    <t>2*0,7+1*2-0,6*1,97</t>
  </si>
  <si>
    <t>2.1.10</t>
  </si>
  <si>
    <t>0,6*(0,7+4,65+0,7)</t>
  </si>
  <si>
    <t>2.1.9</t>
  </si>
  <si>
    <t>41,205</t>
  </si>
  <si>
    <t>;ztratné 20%; 8,241</t>
  </si>
  <si>
    <t>741,8919</t>
  </si>
  <si>
    <t>1,05*2,02*2</t>
  </si>
  <si>
    <t>DD13</t>
  </si>
  <si>
    <t>(0,064*2+0,120*2+0,0596*2)*(1,5*2+1,9*3+1,6)</t>
  </si>
  <si>
    <t>IPE120</t>
  </si>
  <si>
    <t>(0,14*2+0,073*2+0,0683*2)*2,4*3</t>
  </si>
  <si>
    <t>IPE140</t>
  </si>
  <si>
    <t>(11,22+17,97+19,92+1,48+1,82+3,1)</t>
  </si>
  <si>
    <t>(2,39+18)</t>
  </si>
  <si>
    <t>1,5*(1,4*2+3,1-0,8+1+1+1,3+1,05+2+1,7+7,5*2+1+0,6+2,85*3+5,29*2+4,45)</t>
  </si>
  <si>
    <t>2,41+1,52+1,52</t>
  </si>
  <si>
    <t>31,73715*2+22,5295*2+19,1777*2-36+0,15*4*3,89</t>
  </si>
  <si>
    <t>1,48*1,25</t>
  </si>
  <si>
    <t>1*1,25</t>
  </si>
  <si>
    <t>2,05*1,45*2</t>
  </si>
  <si>
    <t>1,05*2,34+1*1,45</t>
  </si>
  <si>
    <t>2*1,45</t>
  </si>
  <si>
    <t>1,5*1,45</t>
  </si>
  <si>
    <t>1,8*1,2</t>
  </si>
  <si>
    <t>168,3051</t>
  </si>
  <si>
    <t>1,6*0,95*2</t>
  </si>
  <si>
    <t>396,0832</t>
  </si>
  <si>
    <t>(6,7-1,5)*2</t>
  </si>
  <si>
    <t>(2,4+8,9+2,33+4+1,6+1,1)*2+12,*2+1</t>
  </si>
  <si>
    <t>1,1*2</t>
  </si>
  <si>
    <t>6,75*3+3*2</t>
  </si>
  <si>
    <t>(0,16+0,65+5,29+0,3+3,3+0,3+5,39+0,21/2)*5,53</t>
  </si>
  <si>
    <t>(13,73+0,16*2)*0,8+(13,73+0,16*2)/2*4,28</t>
  </si>
  <si>
    <t>(14,7+0,16)*3,88</t>
  </si>
  <si>
    <t>42,31055</t>
  </si>
  <si>
    <t>226,9617*2</t>
  </si>
  <si>
    <t>226,9617</t>
  </si>
  <si>
    <t>1,2*(1,4*2+3,1-0,8+1+1+1,3+1,05+2+1,7+7,5*2+1+0,6+2,85*3+5,29*2+4,45)</t>
  </si>
  <si>
    <t>3,89</t>
  </si>
  <si>
    <t>170,51</t>
  </si>
  <si>
    <t>1+1</t>
  </si>
  <si>
    <t>2+2+3+1+3+3+3</t>
  </si>
  <si>
    <t>1NP</t>
  </si>
  <si>
    <t>0,75*0,4+0,5*0,86</t>
  </si>
  <si>
    <t>0,9*1,22</t>
  </si>
  <si>
    <t>5,05*1,45*3+1,8*1,2+1,48*1,5*2</t>
  </si>
  <si>
    <t>1+1+1+1</t>
  </si>
  <si>
    <t>1+1+1+1+1+1+1+1+1+1+1+1+1</t>
  </si>
  <si>
    <t>0,8*1,97*4</t>
  </si>
  <si>
    <t>0,8*1,97*8+0,6*1,97*5+0,8*2</t>
  </si>
  <si>
    <t>1*2+1,2*2</t>
  </si>
  <si>
    <t>2,3*4</t>
  </si>
  <si>
    <t>1,8*2</t>
  </si>
  <si>
    <t>63*0,1</t>
  </si>
  <si>
    <t>33,9*0,1</t>
  </si>
  <si>
    <t>0,9</t>
  </si>
  <si>
    <t>prostup kanalizace základem</t>
  </si>
  <si>
    <t>voda</t>
  </si>
  <si>
    <t>0,016+26,52828+1,1904</t>
  </si>
  <si>
    <t>3,19*1,32</t>
  </si>
  <si>
    <t>3,15*(1,4+0,15+2,3)-0,8*1,97*2</t>
  </si>
  <si>
    <t>3,19*(5,71*2+3,17+0,14+2,95+0,14+2,92-0,3)-0,8*1,97</t>
  </si>
  <si>
    <t>3,15*(7,5-0,97-0,45-0,45-0,97)*0,4</t>
  </si>
  <si>
    <t>3,15*0,97*0,21</t>
  </si>
  <si>
    <t>2*1,3+2*1,1+4*0,6</t>
  </si>
  <si>
    <t>0,1331+35,71883</t>
  </si>
  <si>
    <t>7,5*1,2</t>
  </si>
  <si>
    <t>72,4199+0,1491+1,1904</t>
  </si>
  <si>
    <t>(72,4199+0,1491+1,1904)*20</t>
  </si>
  <si>
    <t>STAVEBNÍ ÚPRAVY OBJEKTU Č.P. 80 SE ZMĚNOU UŽÍVÁNÍ,</t>
  </si>
  <si>
    <t xml:space="preserve">Dodavatel : </t>
  </si>
  <si>
    <t>CETORAZ PARC.Č. ST.89</t>
  </si>
  <si>
    <t>OBEC CETORAZ, CETORAZ 206, 394 11 CETORAZ</t>
  </si>
  <si>
    <t>SOUHRNNÝ VÝKAZ  MATERIÁLU  A  PRACÍ</t>
  </si>
  <si>
    <t>Popis</t>
  </si>
  <si>
    <t>jednotka</t>
  </si>
  <si>
    <t>Jednotka</t>
  </si>
  <si>
    <t>Jed. cena</t>
  </si>
  <si>
    <t>Celk. cena</t>
  </si>
  <si>
    <t>STROJOVNY :</t>
  </si>
  <si>
    <t>73234401V</t>
  </si>
  <si>
    <t>Nadstavbová regulace, MaR - zdroj tepla + 3 x topný okruh ( 2 x směšovaný), 1x ohřev TV přednostní, prostorový termostat pro dětskou skupinu</t>
  </si>
  <si>
    <t>73234402V</t>
  </si>
  <si>
    <t>Uvedení zdroje tepla do provozu</t>
  </si>
  <si>
    <t>4848165102V</t>
  </si>
  <si>
    <t>Hydraulický vyrovnávač dynamických tlaků, HVDT do 2m3/h + izolace</t>
  </si>
  <si>
    <t>ks</t>
  </si>
  <si>
    <t>732119190V</t>
  </si>
  <si>
    <t>potrubní rozdělovač a sběrač DN50, L=1m, vč. tepelné izolace</t>
  </si>
  <si>
    <t>73234403V</t>
  </si>
  <si>
    <t>Čerpací skupina směšovací vč.izolace, V=0,66m3/h, dp min = 20kPa</t>
  </si>
  <si>
    <t>73234404V</t>
  </si>
  <si>
    <t>Čerpací skupina směšovací vč.izolace, V=0,97m3/h, dp min = 30kPa</t>
  </si>
  <si>
    <t>732339104V</t>
  </si>
  <si>
    <t>Expanzní nádoba V=50l + revizní armatura MK1"</t>
  </si>
  <si>
    <t>ARMATURY :</t>
  </si>
  <si>
    <t>73493323V</t>
  </si>
  <si>
    <t>Kulový kohout DN25</t>
  </si>
  <si>
    <t>73429327V</t>
  </si>
  <si>
    <t>Kulový kohout s filtrem DN25</t>
  </si>
  <si>
    <t>73421513V</t>
  </si>
  <si>
    <t>Automatický odvzdušňovací ventil DN15</t>
  </si>
  <si>
    <t>73429532V</t>
  </si>
  <si>
    <t>Vypouštěcí kohout DN15</t>
  </si>
  <si>
    <t>734001V</t>
  </si>
  <si>
    <t>Elektricky ovládaný kulový kohout vč.servopohonu, DN25</t>
  </si>
  <si>
    <t>73443212V</t>
  </si>
  <si>
    <t>Prostorový programovatelný termostat</t>
  </si>
  <si>
    <t>734002V</t>
  </si>
  <si>
    <t>Kalorimetr q=0,6m3, vč.armatur a kapilár</t>
  </si>
  <si>
    <t>734003V</t>
  </si>
  <si>
    <t>Kalorimetr q=1,5m3, vč.armatur a kapilár</t>
  </si>
  <si>
    <t>Demontáže:</t>
  </si>
  <si>
    <t>734004V</t>
  </si>
  <si>
    <t>Demontáž a ekologická likvidace stáv. trubních systémů do DN50 (vč.izolace)</t>
  </si>
  <si>
    <t>734005V</t>
  </si>
  <si>
    <t>Demontáž a ekologická likvidace stáv. otopných těles</t>
  </si>
  <si>
    <t>POTRUBÍ :</t>
  </si>
  <si>
    <t>Potrubí měděné - pájené na měkko nebo lisované</t>
  </si>
  <si>
    <t>733163105V</t>
  </si>
  <si>
    <t>28x1</t>
  </si>
  <si>
    <t>733163106V</t>
  </si>
  <si>
    <t>35x1,5</t>
  </si>
  <si>
    <t>TEPELNÉ IZOLACE :</t>
  </si>
  <si>
    <t>Izolace návleková</t>
  </si>
  <si>
    <t>722181214V</t>
  </si>
  <si>
    <t>28 x 19</t>
  </si>
  <si>
    <t>35 x 19</t>
  </si>
  <si>
    <t>ZÁMEČNICKÉ  KONSTRUKCE :</t>
  </si>
  <si>
    <t>Doplňkové konstrukce pro uložení potrubí</t>
  </si>
  <si>
    <t>13211V</t>
  </si>
  <si>
    <t>tyč pr. 8 mm</t>
  </si>
  <si>
    <t>733001V</t>
  </si>
  <si>
    <t xml:space="preserve">Objímky </t>
  </si>
  <si>
    <t>HZS :</t>
  </si>
  <si>
    <t>731001V</t>
  </si>
  <si>
    <t>Napouštění otopné soustavy</t>
  </si>
  <si>
    <t>73319021V</t>
  </si>
  <si>
    <t>Tlaková zkouška</t>
  </si>
  <si>
    <t>22261913V</t>
  </si>
  <si>
    <t>Topná zkouška + zaregulování systému</t>
  </si>
  <si>
    <t>hod</t>
  </si>
  <si>
    <t>731002V</t>
  </si>
  <si>
    <t>Stavební přípomoce - sekání nik pro potrubí</t>
  </si>
  <si>
    <t>731003V</t>
  </si>
  <si>
    <t>Stavební přípomoce - zhotovení prostupů pro potrubí</t>
  </si>
  <si>
    <t>731004V</t>
  </si>
  <si>
    <t>Výchozí revize zařízení</t>
  </si>
  <si>
    <t>soub</t>
  </si>
  <si>
    <t>9987331V</t>
  </si>
  <si>
    <t>Přesun hmot v objektech</t>
  </si>
  <si>
    <t>CELKEM bez DPH</t>
  </si>
  <si>
    <t>Dětská skupina:</t>
  </si>
  <si>
    <t>735001V</t>
  </si>
  <si>
    <t xml:space="preserve">napojení stávajícího otopného tělesa </t>
  </si>
  <si>
    <t xml:space="preserve">OTOPNÁ TĚLESA </t>
  </si>
  <si>
    <t>Deskové otopné těleso se spodním pravým připojením - typ VK</t>
  </si>
  <si>
    <t>735151660V</t>
  </si>
  <si>
    <t>11-600x400</t>
  </si>
  <si>
    <t>735151662V</t>
  </si>
  <si>
    <t>11-600x600</t>
  </si>
  <si>
    <t>735151667V</t>
  </si>
  <si>
    <t>11-600x1100</t>
  </si>
  <si>
    <t>735151862V</t>
  </si>
  <si>
    <t>22-600x600</t>
  </si>
  <si>
    <t>735151863V</t>
  </si>
  <si>
    <t>22-600x700</t>
  </si>
  <si>
    <t>735151868V</t>
  </si>
  <si>
    <t>22-600x1200</t>
  </si>
  <si>
    <t>735151869V</t>
  </si>
  <si>
    <t>22-600x1400</t>
  </si>
  <si>
    <t>735151870V</t>
  </si>
  <si>
    <t>22-600x1600</t>
  </si>
  <si>
    <t>73811954V</t>
  </si>
  <si>
    <t>Radátorové H-šroubení - rohové</t>
  </si>
  <si>
    <t>735002V</t>
  </si>
  <si>
    <t>Termostatické hlavice na VK otopná tělesa</t>
  </si>
  <si>
    <t>734225272V</t>
  </si>
  <si>
    <t>Termostatický ventil přímý, DN15</t>
  </si>
  <si>
    <t>734264122V</t>
  </si>
  <si>
    <t>Radiátorové uzavíratelné šroubení, DN15</t>
  </si>
  <si>
    <t>733163102V</t>
  </si>
  <si>
    <t>15x1</t>
  </si>
  <si>
    <t>733163103V</t>
  </si>
  <si>
    <t>18x1</t>
  </si>
  <si>
    <t>733163104V</t>
  </si>
  <si>
    <t>22x1</t>
  </si>
  <si>
    <t>722181211V</t>
  </si>
  <si>
    <t>15 x 6</t>
  </si>
  <si>
    <t>18 x 6</t>
  </si>
  <si>
    <t>22 x 19</t>
  </si>
  <si>
    <t>735003V</t>
  </si>
  <si>
    <t>&gt;&gt;  skryté sloupce  &lt;&lt;</t>
  </si>
  <si>
    <t>{e41310ba-8f09-4845-ba0e-c69664d82450}</t>
  </si>
  <si>
    <t>KRYCÍ LIST SOUPISU PRACÍ</t>
  </si>
  <si>
    <t>v ---  níže se nacházejí doplnkové a pomocné údaje k sestavám  --- v</t>
  </si>
  <si>
    <t>False</t>
  </si>
  <si>
    <t>Stavba:</t>
  </si>
  <si>
    <t>STAVEBNÍ ÚPRAVY OBJEKTU Č.P. 80 SE ZMĚNOU UŽÍVÁNÍ,CETORAZ PARC.Č. ST.89-dětská skupina</t>
  </si>
  <si>
    <t>KSO:</t>
  </si>
  <si>
    <t>CC-CZ:</t>
  </si>
  <si>
    <t>Místo:</t>
  </si>
  <si>
    <t>Zadavatel:</t>
  </si>
  <si>
    <t>IČ:</t>
  </si>
  <si>
    <t>DIČ:</t>
  </si>
  <si>
    <t>Uchazeč:</t>
  </si>
  <si>
    <t>Zpracovatel: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</si>
  <si>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</si>
  <si>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</si>
  <si>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</si>
  <si>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</si>
  <si>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</si>
  <si>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</si>
  <si>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</si>
  <si>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</si>
  <si>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</si>
  <si>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</si>
  <si>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</si>
  <si>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</si>
  <si>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</si>
  <si>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Zpracovatel</t>
  </si>
  <si>
    <t>Datum a podpis:</t>
  </si>
  <si>
    <t>Razítko</t>
  </si>
  <si>
    <t>Objednavatel</t>
  </si>
  <si>
    <t>Uchazeč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</si>
  <si>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</si>
  <si>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</si>
  <si>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</si>
  <si>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</si>
  <si>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</si>
  <si>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</si>
  <si>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740 - Elektromontáže - zkoušky a revize</t>
  </si>
  <si>
    <t xml:space="preserve">    741 - Elektroinstalace - silnoproud</t>
  </si>
  <si>
    <t xml:space="preserve">    742 - Elektromontáže - rozvodný systém</t>
  </si>
  <si>
    <t xml:space="preserve">    743 - Elektromontáže - hrubá montáž</t>
  </si>
  <si>
    <t xml:space="preserve">    744 - Elektromontáže - rozvody vodičů měděných</t>
  </si>
  <si>
    <t xml:space="preserve">    747 - Elektromontáže - kompletace rozvodů</t>
  </si>
  <si>
    <t xml:space="preserve">    748 - Elektromontáže - osvětlovací zařízení a svítidla</t>
  </si>
  <si>
    <t xml:space="preserve">    749 - Elektromontáže - ostatní práce a konstrukce</t>
  </si>
  <si>
    <t>M - Práce a dodávky M</t>
  </si>
  <si>
    <t xml:space="preserve">    21-M - Elektromontáže</t>
  </si>
  <si>
    <t xml:space="preserve">    22-M - Montáže slaboproud</t>
  </si>
  <si>
    <t xml:space="preserve">    36-M - Montáž prov.,měř. a regul. zařízení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</si>
  <si>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</si>
  <si>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</si>
  <si>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</si>
  <si>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</si>
  <si>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</si>
  <si>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</si>
  <si>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</si>
  <si>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</si>
  <si>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Typ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</si>
  <si>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</si>
  <si>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</si>
  <si>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</si>
  <si>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</si>
  <si>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</si>
  <si>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</si>
  <si>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</si>
  <si>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</si>
  <si>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</si>
  <si>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</si>
  <si>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Práce a dodávky PSV</t>
  </si>
  <si>
    <t>0</t>
  </si>
  <si>
    <t>ROZPOCET</t>
  </si>
  <si>
    <t>740</t>
  </si>
  <si>
    <t>Elektromontáže - zkoušky a revize</t>
  </si>
  <si>
    <t>M</t>
  </si>
  <si>
    <t>Poplatek za hlavní jistič před elektroměrem  25A - 630Kč á 1A/</t>
  </si>
  <si>
    <t>-1421195017</t>
  </si>
  <si>
    <t>741</t>
  </si>
  <si>
    <t>Elektroinstalace - silnoproud</t>
  </si>
  <si>
    <t>K</t>
  </si>
  <si>
    <t>741130001</t>
  </si>
  <si>
    <t>Ukončení vodič izolovaný do 2,5mm2 v rozváděči nebo na přístroji</t>
  </si>
  <si>
    <t>-2084096436</t>
  </si>
  <si>
    <t>741130005</t>
  </si>
  <si>
    <t>Ukončení vodič izolovaný do 10 mm2 v rozváděči nebo na přístroji</t>
  </si>
  <si>
    <t>685737104</t>
  </si>
  <si>
    <t>741130007</t>
  </si>
  <si>
    <t>Ukončení vodič izolovaný do 25 mm2 v rozváděči nebo na přístroji</t>
  </si>
  <si>
    <t>1714524845</t>
  </si>
  <si>
    <t>741372022</t>
  </si>
  <si>
    <t>Montáž svítidlo LED bytové přisazené nástěnné panelové do 0,36 m2</t>
  </si>
  <si>
    <t>-847461023</t>
  </si>
  <si>
    <t>50340297</t>
  </si>
  <si>
    <t xml:space="preserve">Svítidlo  LINEA SQUARE 3600/840 LED interiérové čtvercové, stropní přisazené, 27W_x000D_
</t>
  </si>
  <si>
    <t>265040388</t>
  </si>
  <si>
    <t>741372022.2</t>
  </si>
  <si>
    <t>781778606</t>
  </si>
  <si>
    <t>000007</t>
  </si>
  <si>
    <t>Svítidlo venkovní IP44 s pohybovým čidlem, 15W, cena svítidel pouze orientační, cenu upřesnit podle výběru investora nebo architekta</t>
  </si>
  <si>
    <t>KS</t>
  </si>
  <si>
    <t>97417926</t>
  </si>
  <si>
    <t>741372062</t>
  </si>
  <si>
    <t>Montáž svítidlo LED bytové přisazené stropní panelové do 0,36 m2</t>
  </si>
  <si>
    <t>322993398</t>
  </si>
  <si>
    <t>10.021.2403.2</t>
  </si>
  <si>
    <t>Kruhové přisazené LED svítidlo s plastovým krytem, 1.pp - IP44, BRSB_KO375V2 BRSB KO 375 V2,27W,2700lm</t>
  </si>
  <si>
    <t>1694985378</t>
  </si>
  <si>
    <t>741372062.1</t>
  </si>
  <si>
    <t>1755231242</t>
  </si>
  <si>
    <t>10.021.2402</t>
  </si>
  <si>
    <t>Svítidlo přisazené - LUXOR LED 1.4ft 3200/840_x000D_
LED,IP40,přisazené,Základna: ocelový plech bílé barvy , Difuzor: lesklá parabolická mřížka, 19W</t>
  </si>
  <si>
    <t>1792611850</t>
  </si>
  <si>
    <t>2082121050</t>
  </si>
  <si>
    <t>10.021.2407</t>
  </si>
  <si>
    <t>Svítidlo přisazené - LUXOR LED 1.2ft 2200/840 kovové interiérové _x000D_
LED,IP40,přisazené,Základna: ocelový plech bílé barvy , Difuzor: lesklá parabolická mřížka, 15W</t>
  </si>
  <si>
    <t>2135848939</t>
  </si>
  <si>
    <t>-1763830827</t>
  </si>
  <si>
    <t>10.021.2404</t>
  </si>
  <si>
    <t>Svítidlo přisazené - LUXOR LED 2.4ft 6400/840_x000D_
LED,IP40,přisazené,Základna: ocelový plech bílé barvy , Difuzor: lesklá parabolická mřížka, 42W</t>
  </si>
  <si>
    <t>1517116051</t>
  </si>
  <si>
    <t>748121114</t>
  </si>
  <si>
    <t>Montáž svítidlo zářivkové bytové stropní přisazené 2 zdroje s krytem</t>
  </si>
  <si>
    <t>-1820552584</t>
  </si>
  <si>
    <t>5038026014</t>
  </si>
  <si>
    <t>Svítidlo PRIMA 1.4ft PC 8000/840,47W,LED,průmyslové,základna z PC,difuzor translucentní PC, IP66</t>
  </si>
  <si>
    <t>-519919754</t>
  </si>
  <si>
    <t>741810003</t>
  </si>
  <si>
    <t>Celková prohlídka elektrického rozvodu a zařízení přes 0,5 do 1 milionu Kč</t>
  </si>
  <si>
    <t>1728822205</t>
  </si>
  <si>
    <t>742</t>
  </si>
  <si>
    <t>Elektromontáže - rozvodný systém</t>
  </si>
  <si>
    <t>10.044.057</t>
  </si>
  <si>
    <t>Sádra balená á 30 kg</t>
  </si>
  <si>
    <t>1414138705</t>
  </si>
  <si>
    <t>742111100</t>
  </si>
  <si>
    <t>Montáž rozvodnice oceloplechová nebo plastová běžná do 20 kg</t>
  </si>
  <si>
    <t>-1417944707</t>
  </si>
  <si>
    <t>10.052.8251</t>
  </si>
  <si>
    <t>Rozvaděč RK3 - kompletní včetně zapojení</t>
  </si>
  <si>
    <t>-798067287</t>
  </si>
  <si>
    <t>742111200</t>
  </si>
  <si>
    <t>Montáž rozvodnice oceloplechová nebo plastová běžná do 50 kg</t>
  </si>
  <si>
    <t>-620908620</t>
  </si>
  <si>
    <t>357116460.1</t>
  </si>
  <si>
    <t>Elektroměrový rozvaděč 1x 3f elektroměr, 1x HDO, 1x25A/3/B, kompletní</t>
  </si>
  <si>
    <t>-657772813</t>
  </si>
  <si>
    <t>742210121</t>
  </si>
  <si>
    <t>Montáž hlásiče automatického bodového</t>
  </si>
  <si>
    <t>-1568249252</t>
  </si>
  <si>
    <t>345123005</t>
  </si>
  <si>
    <t>Autonomní hlásič kouře SD-728-I</t>
  </si>
  <si>
    <t>1461420949</t>
  </si>
  <si>
    <t>743</t>
  </si>
  <si>
    <t>Elektromontáže - hrubá montáž</t>
  </si>
  <si>
    <t>743111315</t>
  </si>
  <si>
    <t>Montáž trubka plastová tuhá D 23 mm uložená pod omítku</t>
  </si>
  <si>
    <t>-599010294</t>
  </si>
  <si>
    <t>345711540</t>
  </si>
  <si>
    <t>trubka elektroinstalační ohebná Monoflex z PH 1423/1</t>
  </si>
  <si>
    <t>-662276959</t>
  </si>
  <si>
    <t>743112219</t>
  </si>
  <si>
    <t>Montáž trubka plastová ohebná D 48 mm uložená volně</t>
  </si>
  <si>
    <t>-636525409</t>
  </si>
  <si>
    <t>10.153.1471</t>
  </si>
  <si>
    <t>Trubka kopoflex KF 09080 BA ohebná dvouplášt. 80mm</t>
  </si>
  <si>
    <t>1929834316</t>
  </si>
  <si>
    <t>7431211161</t>
  </si>
  <si>
    <t>Mtž trubka pancéřová D 50 mm pevně uložená do tuhých plast krabic</t>
  </si>
  <si>
    <t>1510764631</t>
  </si>
  <si>
    <t>203200111</t>
  </si>
  <si>
    <t>Chránička Ø 50mm</t>
  </si>
  <si>
    <t>-954635749</t>
  </si>
  <si>
    <t>743411111</t>
  </si>
  <si>
    <t>Montáž krabice zapuštěná plastová kruhová typ KU68/2-1902, KO125</t>
  </si>
  <si>
    <t>664423977</t>
  </si>
  <si>
    <t>10.079.363</t>
  </si>
  <si>
    <t>Krabice KU 68-1902</t>
  </si>
  <si>
    <t>-639165503</t>
  </si>
  <si>
    <t>743411111.1</t>
  </si>
  <si>
    <t>1919428641</t>
  </si>
  <si>
    <t>10.079.364</t>
  </si>
  <si>
    <t>Podomítková krabice KPR 68-70 přístrojová hluboká</t>
  </si>
  <si>
    <t>707513657</t>
  </si>
  <si>
    <t>743411121.1</t>
  </si>
  <si>
    <t>Montáž krabice zapuštěná plastová čtyřhranná typ KO100, KO125</t>
  </si>
  <si>
    <t>1151056216</t>
  </si>
  <si>
    <t>10.075.335.1</t>
  </si>
  <si>
    <t>Svorkovnice EPS 2 ekvipotencionální s krabicí</t>
  </si>
  <si>
    <t>-1141068411</t>
  </si>
  <si>
    <t>743411311</t>
  </si>
  <si>
    <t>Montáž krabice nástěnná plastová kruhová typ KU68/2-1902, KO97</t>
  </si>
  <si>
    <t>469586239</t>
  </si>
  <si>
    <t>10.074.803</t>
  </si>
  <si>
    <t>Krabice KU 68-1903</t>
  </si>
  <si>
    <t>-1053334263</t>
  </si>
  <si>
    <t>743419130</t>
  </si>
  <si>
    <t>Otevření nebo uzavření krabice víčkem na 4 šrouby</t>
  </si>
  <si>
    <t>926416704</t>
  </si>
  <si>
    <t>743991100</t>
  </si>
  <si>
    <t>Měření zemních odporů zemniče</t>
  </si>
  <si>
    <t>-379407543</t>
  </si>
  <si>
    <t>744</t>
  </si>
  <si>
    <t>Elektromontáže - rozvody vodičů měděných</t>
  </si>
  <si>
    <t>744435200</t>
  </si>
  <si>
    <t>Montáž kabel Cu sk.5 do 1 kV do 0,63 kg uložený volně</t>
  </si>
  <si>
    <t>-1231422625</t>
  </si>
  <si>
    <t>341110640781</t>
  </si>
  <si>
    <t xml:space="preserve">Kabel PRAFlaDUR 3Jx1,5 (s požární odolností)_x000D_
</t>
  </si>
  <si>
    <t>1087329481</t>
  </si>
  <si>
    <t>744731110</t>
  </si>
  <si>
    <t>Montáž kabel Cu sdělovací sk.1 2-19x1 mm umístěný volně</t>
  </si>
  <si>
    <t>2080428402</t>
  </si>
  <si>
    <t>341215560</t>
  </si>
  <si>
    <t>kabel sdělovací JYTY Al laminovanou fólií 4x1 mm</t>
  </si>
  <si>
    <t>21838533</t>
  </si>
  <si>
    <t>747</t>
  </si>
  <si>
    <t>Elektromontáže - kompletace rozvodů</t>
  </si>
  <si>
    <t>747131400</t>
  </si>
  <si>
    <t>Montáž přípojka sporáková s doutnavkou se zapojením vodičů</t>
  </si>
  <si>
    <t>-2026959788</t>
  </si>
  <si>
    <t>10.027.402</t>
  </si>
  <si>
    <t>Kombinace 3425A-0344 S2 sporáková</t>
  </si>
  <si>
    <t>1721874634</t>
  </si>
  <si>
    <t>747512112</t>
  </si>
  <si>
    <t>Montáž domácí telefonní tablo se zapojením vodičů</t>
  </si>
  <si>
    <t>584267067</t>
  </si>
  <si>
    <t>374141300.1.1</t>
  </si>
  <si>
    <t>Tlačítkové video tablo sestavené 1tl. se stříškou pod omítku., el. zámek, kompletní</t>
  </si>
  <si>
    <t>1395954317</t>
  </si>
  <si>
    <t>747512161</t>
  </si>
  <si>
    <t>Montáž bytové dorozumívací zařízení 1 až 3 tlačítkové se zapojením vodičů</t>
  </si>
  <si>
    <t>-522789399</t>
  </si>
  <si>
    <t>11.021.545</t>
  </si>
  <si>
    <t>Domovní telefon - nástěnný vč. držáku</t>
  </si>
  <si>
    <t>1809431555</t>
  </si>
  <si>
    <t>748</t>
  </si>
  <si>
    <t>Elektromontáže - osvětlovací zařízení a svítidla</t>
  </si>
  <si>
    <t>210200040.1</t>
  </si>
  <si>
    <t>Montáž svítidel nástěnných nouzové</t>
  </si>
  <si>
    <t>-511930112</t>
  </si>
  <si>
    <t>10.151.469.1</t>
  </si>
  <si>
    <t>Sví.nouz. LED 5W 1h</t>
  </si>
  <si>
    <t>1226282348</t>
  </si>
  <si>
    <t>749</t>
  </si>
  <si>
    <t>Elektromontáže - ostatní práce a konstrukce</t>
  </si>
  <si>
    <t>741990041</t>
  </si>
  <si>
    <t>Montáž tabulka výstražná a označovací pro rozvodny</t>
  </si>
  <si>
    <t>-1335549369</t>
  </si>
  <si>
    <t>4321001.1.1</t>
  </si>
  <si>
    <t>Bezpečnostní tabulka - Elektrický rozvaděč Nehas vodou ani pěnovými přístroji</t>
  </si>
  <si>
    <t>-1005679932</t>
  </si>
  <si>
    <t>4321001</t>
  </si>
  <si>
    <t>Bezpečnostní tabulka - Za bouřky dodržujte odstup 3m od svodu Plast 2 mm A5 - 200x150 mm</t>
  </si>
  <si>
    <t>-414957732</t>
  </si>
  <si>
    <t>Práce a dodávky M</t>
  </si>
  <si>
    <t>21-M</t>
  </si>
  <si>
    <t>246170260.1</t>
  </si>
  <si>
    <t>lak asfaltový A 1999 černý (á 9 kg)</t>
  </si>
  <si>
    <t>1830819071</t>
  </si>
  <si>
    <t>000002.1</t>
  </si>
  <si>
    <t>Protipožární sáček PS 750</t>
  </si>
  <si>
    <t>701775038</t>
  </si>
  <si>
    <t>000001</t>
  </si>
  <si>
    <t>Montáž oddáleného hromosvodu na trubku</t>
  </si>
  <si>
    <t>-1823862804</t>
  </si>
  <si>
    <t>3541110001</t>
  </si>
  <si>
    <t>ITV 68 Izolační tyč pro vodič 680mm</t>
  </si>
  <si>
    <t>1342893709</t>
  </si>
  <si>
    <t>354111000111</t>
  </si>
  <si>
    <t>DOHT 6 Držák oddáleného hromosvodu na trubku</t>
  </si>
  <si>
    <t>-1063099929</t>
  </si>
  <si>
    <t>210010108</t>
  </si>
  <si>
    <t>Montáž lišt vkládacích s víčkem šířky do 40 mm</t>
  </si>
  <si>
    <t>62162088</t>
  </si>
  <si>
    <t>345718300.1</t>
  </si>
  <si>
    <t>lišta elektroinstalační hranatá LHD 40 x 20 3m</t>
  </si>
  <si>
    <t>-797857009</t>
  </si>
  <si>
    <t>210010351</t>
  </si>
  <si>
    <t>Montáž rozvodek nástěnných plastových čtyřhranných ACIDUR vodič D do 4 mm2</t>
  </si>
  <si>
    <t>737507214</t>
  </si>
  <si>
    <t>10.078.068</t>
  </si>
  <si>
    <t>Krabice SCAME 855 IP67 acidur</t>
  </si>
  <si>
    <t>-1138438623</t>
  </si>
  <si>
    <t>210021063</t>
  </si>
  <si>
    <t>Osazení výstražné fólie z PVC</t>
  </si>
  <si>
    <t>-338607697</t>
  </si>
  <si>
    <t>10.042.134</t>
  </si>
  <si>
    <t>Folie ČEZ 22 rudá - blesk 250m/bal</t>
  </si>
  <si>
    <t>313116466</t>
  </si>
  <si>
    <t>210100013</t>
  </si>
  <si>
    <t>Připojení CO2 čidlo k VZT jednotce</t>
  </si>
  <si>
    <t>-1185543963</t>
  </si>
  <si>
    <t>2101000163</t>
  </si>
  <si>
    <t>Připojení digestoře</t>
  </si>
  <si>
    <t>723860929</t>
  </si>
  <si>
    <t>210100017.1</t>
  </si>
  <si>
    <t>Připojení VZT jednotky, servopohony, čidlo kouře</t>
  </si>
  <si>
    <t>-1362596309</t>
  </si>
  <si>
    <t>210100017.1.1</t>
  </si>
  <si>
    <t>Připojení technologie v technické místnosti</t>
  </si>
  <si>
    <t>-1557717378</t>
  </si>
  <si>
    <t>210100017.2</t>
  </si>
  <si>
    <t>Připojení gastro technologie-kuchyně</t>
  </si>
  <si>
    <t>-1028003850</t>
  </si>
  <si>
    <t>210110001</t>
  </si>
  <si>
    <t>Montáž nástěnný vypínač nn jednopólový pro prostředí základní nebo vlhké</t>
  </si>
  <si>
    <t>1905135617</t>
  </si>
  <si>
    <t>10.555.033</t>
  </si>
  <si>
    <t>Spínač č.1, č.6 IP44</t>
  </si>
  <si>
    <t>-1019972317</t>
  </si>
  <si>
    <t>210110024.1</t>
  </si>
  <si>
    <t>Montáž nástěnný přepínač nn 6+6-střídavý</t>
  </si>
  <si>
    <t>-1689985763</t>
  </si>
  <si>
    <t>10.400.680</t>
  </si>
  <si>
    <t>Přepínač dvojitý střídavý, řazení 6+6 3558A-52940 D</t>
  </si>
  <si>
    <t>-1000889299</t>
  </si>
  <si>
    <t>210110031</t>
  </si>
  <si>
    <t>Montáž zapuštěný vypínač nn jednopólový bezšroubové připojení</t>
  </si>
  <si>
    <t>1452018690</t>
  </si>
  <si>
    <t>345355150</t>
  </si>
  <si>
    <t>spínač jednopólový 10A bílý, slonová kost</t>
  </si>
  <si>
    <t>-1625356273</t>
  </si>
  <si>
    <t>210110039</t>
  </si>
  <si>
    <t>Montáž zapuštěný přepínač nn 7-křížový bezšroubové připojení</t>
  </si>
  <si>
    <t>-292548695</t>
  </si>
  <si>
    <t>345357130</t>
  </si>
  <si>
    <t>spínač řazení 7 10A bílý, slonová kost</t>
  </si>
  <si>
    <t>-637313580</t>
  </si>
  <si>
    <t>210110043</t>
  </si>
  <si>
    <t>Montáž zapuštěný přepínač nn 5-sériový šroubové připojení</t>
  </si>
  <si>
    <t>-478038354</t>
  </si>
  <si>
    <t>345355750452</t>
  </si>
  <si>
    <t>spínač řazení 5 10A  bílý</t>
  </si>
  <si>
    <t>-159807833</t>
  </si>
  <si>
    <t>210110045</t>
  </si>
  <si>
    <t>Montáž zapuštěný přepínač nn 6-střídavý šroubové připojení</t>
  </si>
  <si>
    <t>659143361</t>
  </si>
  <si>
    <t>345355550</t>
  </si>
  <si>
    <t>spínač řazení 6 10A bílý, slonová kost</t>
  </si>
  <si>
    <t>660530231</t>
  </si>
  <si>
    <t>210110142</t>
  </si>
  <si>
    <t>Montáž ovladač nn 1/0 -tlačítkový zapínací bezšroubové připojení</t>
  </si>
  <si>
    <t>-1302467561</t>
  </si>
  <si>
    <t>10.706.950.1.1</t>
  </si>
  <si>
    <t>412104 Tlačítko řazení 1/0, čistě bílá</t>
  </si>
  <si>
    <t>-1955902294</t>
  </si>
  <si>
    <t>210111002</t>
  </si>
  <si>
    <t>Montáž zásuvka vestavná šroubové připojení 2P+PE se zapojením vodičů</t>
  </si>
  <si>
    <t>325319248</t>
  </si>
  <si>
    <t>345551030</t>
  </si>
  <si>
    <t>zásuvka 1násobná 16A bílý, slonová kost</t>
  </si>
  <si>
    <t>54927396</t>
  </si>
  <si>
    <t>345626930</t>
  </si>
  <si>
    <t>svorkovnice krabicová bezšroubová TYP017, 400 V, 2 vstupy, 2,5 mm2, 24 A</t>
  </si>
  <si>
    <t>-1200813148</t>
  </si>
  <si>
    <t>345626940</t>
  </si>
  <si>
    <t>svorkovnice krabicová bezšroubová TYP016, 400 V, 3 vstupy, 2,5 mm2, 24 A</t>
  </si>
  <si>
    <t>-2072690915</t>
  </si>
  <si>
    <t>345626950</t>
  </si>
  <si>
    <t>svorkovnice krabicová bezšroubová TYP018, 400 V, 4 vstupy, 2,5 mm2, 24 A</t>
  </si>
  <si>
    <t>325311233</t>
  </si>
  <si>
    <t>345626960</t>
  </si>
  <si>
    <t>svorkovnice krabicová bezšroubová TYP015, 400 V, 5 vstupů, 2,5 mm2, 24 A</t>
  </si>
  <si>
    <t>-1215585949</t>
  </si>
  <si>
    <t>210111131.1</t>
  </si>
  <si>
    <t>Montáž zásuvek průmyslových nástěnných provedení IP 44 2P+PE 16 A</t>
  </si>
  <si>
    <t>560755073</t>
  </si>
  <si>
    <t>10.028.726</t>
  </si>
  <si>
    <t>Zásuvka 230V IP44 bílá</t>
  </si>
  <si>
    <t>-2112453084</t>
  </si>
  <si>
    <t>210140532.1</t>
  </si>
  <si>
    <t>Montáž termostatu</t>
  </si>
  <si>
    <t>1136986687</t>
  </si>
  <si>
    <t>10.027.213.1</t>
  </si>
  <si>
    <t>TERMOSTAT nástěnný programovatelný</t>
  </si>
  <si>
    <t>-291110132</t>
  </si>
  <si>
    <t>210220001</t>
  </si>
  <si>
    <t>Montáž uzemňovacího vedení vodičů FeZn pomocí svorek na povrchu páskou do 120 mm2</t>
  </si>
  <si>
    <t>1596270970</t>
  </si>
  <si>
    <t>354420620</t>
  </si>
  <si>
    <t>pás zemnící 30 x 4 mm FeZn</t>
  </si>
  <si>
    <t>761029380</t>
  </si>
  <si>
    <t>210220002</t>
  </si>
  <si>
    <t>Montáž uzemňovacích vedení vodičů FeZn pomocí svorek na povrchu drátem nebo lanem do 10 mm</t>
  </si>
  <si>
    <t>1759331963</t>
  </si>
  <si>
    <t>354410730</t>
  </si>
  <si>
    <t>drát průměr 10 mm FeZn</t>
  </si>
  <si>
    <t>-1782950611</t>
  </si>
  <si>
    <t>210220101</t>
  </si>
  <si>
    <t>Montáž hromosvodného vedení svodových vodičů s podpěrami průměru do 10 mm</t>
  </si>
  <si>
    <t>-28457035</t>
  </si>
  <si>
    <t>354410770</t>
  </si>
  <si>
    <t>drát průměr 8 mm AlMgSi</t>
  </si>
  <si>
    <t>2101394884</t>
  </si>
  <si>
    <t>200031</t>
  </si>
  <si>
    <t>Podpěra vedení hromosvodu na fasádě-set (PVC podpěra 55mm, FID hmoždinka 90mm, vrut 6/80mm)</t>
  </si>
  <si>
    <t>872238211</t>
  </si>
  <si>
    <t>210220301</t>
  </si>
  <si>
    <t>Montáž svorek hromosvodných typu SS, SR 03 se 2 šrouby</t>
  </si>
  <si>
    <t>-1535410266</t>
  </si>
  <si>
    <t>354354418751</t>
  </si>
  <si>
    <t>SUb svorka univerzální bez strředové destičky</t>
  </si>
  <si>
    <t>1740602424</t>
  </si>
  <si>
    <t>1520889799</t>
  </si>
  <si>
    <t>354418850</t>
  </si>
  <si>
    <t>svorka spojovací SS pro lano D8-10 mm</t>
  </si>
  <si>
    <t>-922458819</t>
  </si>
  <si>
    <t>210220302</t>
  </si>
  <si>
    <t>Montáž svorek hromosvodných typu ST, SJ, SK, SZ, SR 01, 02 se 3 a více šrouby</t>
  </si>
  <si>
    <t>1510138204</t>
  </si>
  <si>
    <t>354418950</t>
  </si>
  <si>
    <t>svorka připojovací SP1 k připojení kovových částí</t>
  </si>
  <si>
    <t>-2114189089</t>
  </si>
  <si>
    <t>1290550264</t>
  </si>
  <si>
    <t>354418750</t>
  </si>
  <si>
    <t>svorka křížová SK pro vodič D6-10 mm</t>
  </si>
  <si>
    <t>-1514938712</t>
  </si>
  <si>
    <t>-1697394834</t>
  </si>
  <si>
    <t>354419250</t>
  </si>
  <si>
    <t>svorka zkušební SZ pro lano D6-12 mm   FeZn</t>
  </si>
  <si>
    <t>-59134731</t>
  </si>
  <si>
    <t>210220302.1</t>
  </si>
  <si>
    <t>-1468393947</t>
  </si>
  <si>
    <t>354419860</t>
  </si>
  <si>
    <t>svorka odbočovací a spojovací SR 3b pro pásek 30x4 mm    FeZn</t>
  </si>
  <si>
    <t>1271085709</t>
  </si>
  <si>
    <t>354419960</t>
  </si>
  <si>
    <t>svorka odbočovací a spojovací SR 3a pro spojování kruhových a páskových vodičů    FeZn</t>
  </si>
  <si>
    <t>1810003797</t>
  </si>
  <si>
    <t>210220321</t>
  </si>
  <si>
    <t>Montáž svorek hromosvodných na potrubí typ Bernard se zhotovením pásku</t>
  </si>
  <si>
    <t>845280563</t>
  </si>
  <si>
    <t>68500165</t>
  </si>
  <si>
    <t>SVORKA ST NA POTRUBI</t>
  </si>
  <si>
    <t>-2017825456</t>
  </si>
  <si>
    <t>210220372.1</t>
  </si>
  <si>
    <t>Montáž ochranných prvků - úhelníků nebo trubek do zdiva</t>
  </si>
  <si>
    <t>998421240</t>
  </si>
  <si>
    <t>354418300</t>
  </si>
  <si>
    <t>úhelník ochranný OU 1.7 na ochranu svodu 1,7 m</t>
  </si>
  <si>
    <t>-2001645463</t>
  </si>
  <si>
    <t>354418360</t>
  </si>
  <si>
    <t>držák ochranného úhelníku do zdiva DOU FeZn s prodloužením-instalovat před fasádou</t>
  </si>
  <si>
    <t>900623412</t>
  </si>
  <si>
    <t>210220401</t>
  </si>
  <si>
    <t>Montáž vedení hromosvodné - štítků k označení svodů</t>
  </si>
  <si>
    <t>-280417489</t>
  </si>
  <si>
    <t>354421100</t>
  </si>
  <si>
    <t>štítek plastový č. 31 -  čísla svodů</t>
  </si>
  <si>
    <t>1122640473</t>
  </si>
  <si>
    <t>210220451</t>
  </si>
  <si>
    <t>Montáž vedení hromosvodné - ochranného pospojování volně nebo pod omítku</t>
  </si>
  <si>
    <t>192385424</t>
  </si>
  <si>
    <t>10180161</t>
  </si>
  <si>
    <t>VODIC CYY 6 ZELENOZLUTY</t>
  </si>
  <si>
    <t>-1134779751</t>
  </si>
  <si>
    <t>1974266934</t>
  </si>
  <si>
    <t>10180202</t>
  </si>
  <si>
    <t>VODIC CYY 4 ZELENOZLUTY</t>
  </si>
  <si>
    <t>1319745592</t>
  </si>
  <si>
    <t>-1729255726</t>
  </si>
  <si>
    <t>10100175</t>
  </si>
  <si>
    <t>VODIC CYY 2,5 ZELENOZLUTA</t>
  </si>
  <si>
    <t>-2052974690</t>
  </si>
  <si>
    <t>210220451.1</t>
  </si>
  <si>
    <t>1492156279</t>
  </si>
  <si>
    <t>341421600.1</t>
  </si>
  <si>
    <t>CYA 25 ZŽ Vodič H07V-K 25 ohebný zelenožlutý</t>
  </si>
  <si>
    <t>1350985333</t>
  </si>
  <si>
    <t>210220458</t>
  </si>
  <si>
    <t>PV 15a - podpěra vedení na hřebenáče</t>
  </si>
  <si>
    <t>1626874457</t>
  </si>
  <si>
    <t>354414900</t>
  </si>
  <si>
    <t>podpěra vedení PV15 FeZn na hřebenáče a prejzovou krytinu 120 mm</t>
  </si>
  <si>
    <t>93514060</t>
  </si>
  <si>
    <t>210220459</t>
  </si>
  <si>
    <t>PV 11d - podpěra vedení pod tašky</t>
  </si>
  <si>
    <t>-1439633379</t>
  </si>
  <si>
    <t>68500450</t>
  </si>
  <si>
    <t xml:space="preserve">PODP.VEDENI PV 11d </t>
  </si>
  <si>
    <t>-542175232</t>
  </si>
  <si>
    <t>210800007</t>
  </si>
  <si>
    <t>Montáž měděných vodičů CYY, CMA, CY, CYA, HO5V, HO7V 25 až 35 mm2 pod omítku ve stěně</t>
  </si>
  <si>
    <t>-50233193</t>
  </si>
  <si>
    <t>3411162001.1</t>
  </si>
  <si>
    <t>kabel silový s Cu jádrem 1-CYKY 4x35 mm2 - změřit na stavbě</t>
  </si>
  <si>
    <t>1557462242</t>
  </si>
  <si>
    <t>210802024</t>
  </si>
  <si>
    <t>Montáž měděných šňůr lehkých AO3VV,AO5,CGLG,CGLU,CMSM,CYLY,HO5 do 1 kV do 1,6 kg uložených volně</t>
  </si>
  <si>
    <t>-1358431018</t>
  </si>
  <si>
    <t>341432880</t>
  </si>
  <si>
    <t>Kabel H05VV-F, CYSY, 3x2,5 mm2, ohebný, bílý</t>
  </si>
  <si>
    <t>-320538560</t>
  </si>
  <si>
    <t>210802109</t>
  </si>
  <si>
    <t>Montáž měděných vodičů CMSM, CMFM, A03VV, AO5, CGLU, CYH, CYLY, HO3VV, HO5 3x1,5 mm2 volně</t>
  </si>
  <si>
    <t>1000772652</t>
  </si>
  <si>
    <t>341431760</t>
  </si>
  <si>
    <t>Vodič H05VV-F 3Gx1,5 (CYSY) bílá</t>
  </si>
  <si>
    <t>-1953495336</t>
  </si>
  <si>
    <t>210810013.1</t>
  </si>
  <si>
    <t>Montáž měděných kabelů CYKY, CYKYD, CYKYDY, NYM, NYY, YSLY 750 V 4x10mm2 uložených volně</t>
  </si>
  <si>
    <t>-1299251761</t>
  </si>
  <si>
    <t>10.048.218.1</t>
  </si>
  <si>
    <t>CYKY 4J10 (4Bx10)-změřit na stavbě</t>
  </si>
  <si>
    <t>1696175093</t>
  </si>
  <si>
    <t>210810015</t>
  </si>
  <si>
    <t>Montáž měděných kabelů CYKY, CYKYD, CYKYDY, NYM, NYY, YSLY 750 V 5x1,5 mm2 uložených volně</t>
  </si>
  <si>
    <t>-1098850208</t>
  </si>
  <si>
    <t>341110900</t>
  </si>
  <si>
    <t>kabel silový s Cu jádrem CYKY 5x1,5 mm2</t>
  </si>
  <si>
    <t>1155306895</t>
  </si>
  <si>
    <t>210810045</t>
  </si>
  <si>
    <t>Montáž měděných kabelů CYKY, CYKYD, CYKYDY, NYM, NYY, YSLY 750 V 3x1,5 mm2 uložených pevně</t>
  </si>
  <si>
    <t>-926540901</t>
  </si>
  <si>
    <t>341110300</t>
  </si>
  <si>
    <t>kabel silový s Cu jádrem CYKY 3x1,5 mm2</t>
  </si>
  <si>
    <t>-61758489</t>
  </si>
  <si>
    <t>210810046</t>
  </si>
  <si>
    <t>Montáž měděných kabelů CYKY, CYKYD, CYKYDY, NYM, NYY, YSLY 750 V 3x2,5 mm2 uložených pevně</t>
  </si>
  <si>
    <t>1063652131</t>
  </si>
  <si>
    <t>341110360</t>
  </si>
  <si>
    <t>kabel silový s Cu jádrem CYKY 3x2,5 mm2</t>
  </si>
  <si>
    <t>-190550519</t>
  </si>
  <si>
    <t>210810049</t>
  </si>
  <si>
    <t>Montáž měděných kabelů CYKY, CYKYD, CYKYDY, NYM, NYY, YSLY 750 V 4x1,5 mm2 uložených pevně</t>
  </si>
  <si>
    <t>-2073099937</t>
  </si>
  <si>
    <t>341110600</t>
  </si>
  <si>
    <t>kabel silový s Cu jádrem CYKY 4x1,5 mm2</t>
  </si>
  <si>
    <t>-188654726</t>
  </si>
  <si>
    <t>210810056</t>
  </si>
  <si>
    <t>Montáž měděných kabelů CYKY, CYKYD, CYKYDY, NYM, NYY, YSLY 750 V 5x2,5 mm2 uložených pevně</t>
  </si>
  <si>
    <t>-115799717</t>
  </si>
  <si>
    <t>341110940</t>
  </si>
  <si>
    <t>kabel silový s Cu jádrem CYKY 5x2,5 mm2</t>
  </si>
  <si>
    <t>-557328876</t>
  </si>
  <si>
    <t>86310004</t>
  </si>
  <si>
    <t>Přihlášky a revize odběrných míst ČEZ,EG.D</t>
  </si>
  <si>
    <t>1907801133</t>
  </si>
  <si>
    <t>PD</t>
  </si>
  <si>
    <t>Přesun dodávek</t>
  </si>
  <si>
    <t>-842512362</t>
  </si>
  <si>
    <t>PM</t>
  </si>
  <si>
    <t>Přidružený materiál</t>
  </si>
  <si>
    <t>258332172</t>
  </si>
  <si>
    <t>PPV</t>
  </si>
  <si>
    <t>Podíl přidružených výkonů</t>
  </si>
  <si>
    <t>-419540076</t>
  </si>
  <si>
    <t>ZV</t>
  </si>
  <si>
    <t>Zednické výpomoci</t>
  </si>
  <si>
    <t>-1572716083</t>
  </si>
  <si>
    <t>22-M</t>
  </si>
  <si>
    <t>Montáže slaboproud</t>
  </si>
  <si>
    <t>220061532</t>
  </si>
  <si>
    <t>Montáž kabel návěstní volně uložený s jádrem 1 mm Cu TCEKEZE, TCEKFE, TCEKPFLEY, TCEKPFLEZE 4 P</t>
  </si>
  <si>
    <t>609265453</t>
  </si>
  <si>
    <t>10.048.935</t>
  </si>
  <si>
    <t>TCEPKPFLE 3x4x0,8</t>
  </si>
  <si>
    <t>-260552769</t>
  </si>
  <si>
    <t>220111751</t>
  </si>
  <si>
    <t>Překlenutí vodoměru</t>
  </si>
  <si>
    <t>-1877331381</t>
  </si>
  <si>
    <t>220270243</t>
  </si>
  <si>
    <t>Montáž UTP, FTP kabelu Cat.5e</t>
  </si>
  <si>
    <t>-130308892</t>
  </si>
  <si>
    <t>10.049.551</t>
  </si>
  <si>
    <t>UTP 4x2x0,5 cat.5e bal.305m</t>
  </si>
  <si>
    <t>505312862</t>
  </si>
  <si>
    <t>220270243.1</t>
  </si>
  <si>
    <t>1053272496</t>
  </si>
  <si>
    <t>45561201</t>
  </si>
  <si>
    <t>Kabel venkovní UTP, cat.5e, drát, 4x2xAWG23,plášť PE + PVC, černý</t>
  </si>
  <si>
    <t>188488599</t>
  </si>
  <si>
    <t>220280221</t>
  </si>
  <si>
    <t>Montáž kabely bytové uložené  v trubkách nebo lištách  SYKFY 5 x 2 x 0,5 mm</t>
  </si>
  <si>
    <t>-818411688</t>
  </si>
  <si>
    <t>10.048.908</t>
  </si>
  <si>
    <t>SYKFY 5x2x0,5</t>
  </si>
  <si>
    <t>167610263</t>
  </si>
  <si>
    <t>220280229</t>
  </si>
  <si>
    <t>Montáž koaxiálního kabelu 75ohm</t>
  </si>
  <si>
    <t>-218681761</t>
  </si>
  <si>
    <t>10.698.536</t>
  </si>
  <si>
    <t>Kabel HD-1000 FHD koaxiál bal.150m</t>
  </si>
  <si>
    <t>-2141073954</t>
  </si>
  <si>
    <t>220301201</t>
  </si>
  <si>
    <t>Montáž zásuvka telefonní 4-pólové pod omítku</t>
  </si>
  <si>
    <t>446948393</t>
  </si>
  <si>
    <t>10.942.065</t>
  </si>
  <si>
    <t>Zásuvka datová RJ45 kat.5e</t>
  </si>
  <si>
    <t>-2143328693</t>
  </si>
  <si>
    <t>220301203</t>
  </si>
  <si>
    <t>Montáž televizní zásuvky pod omítku</t>
  </si>
  <si>
    <t>-1869707801</t>
  </si>
  <si>
    <t>374511230</t>
  </si>
  <si>
    <t>zásuvka tv+r bílý, slonová kost-kompletní</t>
  </si>
  <si>
    <t>708544774</t>
  </si>
  <si>
    <t>741999041</t>
  </si>
  <si>
    <t>konektory F - kompresní</t>
  </si>
  <si>
    <t>-886072727</t>
  </si>
  <si>
    <t>220450007.1</t>
  </si>
  <si>
    <t>Montáž anténního stožáru</t>
  </si>
  <si>
    <t>-1838028625</t>
  </si>
  <si>
    <t>741999025</t>
  </si>
  <si>
    <t>stožár STA-trojnožka (dimenzovaný pro antény 90 cm a antény UHF a VKV - 3m teleskopický včetně výložníků a kotvících systémů</t>
  </si>
  <si>
    <t>sada</t>
  </si>
  <si>
    <t>2138298305</t>
  </si>
  <si>
    <t>220731511</t>
  </si>
  <si>
    <t>Zřízení uzemnění stožáru anténního na objektu</t>
  </si>
  <si>
    <t>-1201295653</t>
  </si>
  <si>
    <t>220880301.1</t>
  </si>
  <si>
    <t>Montáž skříně 19"</t>
  </si>
  <si>
    <t>1232119165</t>
  </si>
  <si>
    <t>10.652.241.2.1</t>
  </si>
  <si>
    <t>19" RACK jednodílný 12U</t>
  </si>
  <si>
    <t>1225234150</t>
  </si>
  <si>
    <t>10007.1</t>
  </si>
  <si>
    <t>UTP propojovací kabel 0,5m 5e</t>
  </si>
  <si>
    <t>488024119</t>
  </si>
  <si>
    <t>742330024</t>
  </si>
  <si>
    <t>Montáž patch panelu 24 portů UTP/FTP</t>
  </si>
  <si>
    <t>662132879</t>
  </si>
  <si>
    <t>M030</t>
  </si>
  <si>
    <t>patch panel 24 portu RJ45</t>
  </si>
  <si>
    <t>-734780949</t>
  </si>
  <si>
    <t>742330052.1</t>
  </si>
  <si>
    <t>Popis portů patchpanelu</t>
  </si>
  <si>
    <t>704263966</t>
  </si>
  <si>
    <t>742330101.1</t>
  </si>
  <si>
    <t>Měření metalického segmentu s vyhotovením protokolu</t>
  </si>
  <si>
    <t>-51873906</t>
  </si>
  <si>
    <t>742420111</t>
  </si>
  <si>
    <t>Montáž UTP konektoru</t>
  </si>
  <si>
    <t>-34105261</t>
  </si>
  <si>
    <t>8006</t>
  </si>
  <si>
    <t>Lisovací konektor RJ45, kat.5</t>
  </si>
  <si>
    <t>-1720492026</t>
  </si>
  <si>
    <t>741999029</t>
  </si>
  <si>
    <t>anténa UHF V + H provedení</t>
  </si>
  <si>
    <t>-936416894</t>
  </si>
  <si>
    <t>741999030</t>
  </si>
  <si>
    <t>anténa VKV - všesměrová</t>
  </si>
  <si>
    <t>-1018390840</t>
  </si>
  <si>
    <t>741999031</t>
  </si>
  <si>
    <t>Přepěťová ochrana- koaxiální kabel</t>
  </si>
  <si>
    <t>-98103103</t>
  </si>
  <si>
    <t>741999034</t>
  </si>
  <si>
    <t>odbočovač TV 1/20 dB</t>
  </si>
  <si>
    <t>-747466547</t>
  </si>
  <si>
    <t>741999035</t>
  </si>
  <si>
    <t>slučovač 0-950 MHz dvojitý</t>
  </si>
  <si>
    <t>565177036</t>
  </si>
  <si>
    <t>741999037</t>
  </si>
  <si>
    <t>Multipřepínač kaskádový F konektor - 2x zásuvka</t>
  </si>
  <si>
    <t>279634003</t>
  </si>
  <si>
    <t>741999040</t>
  </si>
  <si>
    <t>spojka F-F</t>
  </si>
  <si>
    <t>-564200261</t>
  </si>
  <si>
    <t>766487223</t>
  </si>
  <si>
    <t>741999043</t>
  </si>
  <si>
    <t>instalační materiál, izolace proti vlhkosti</t>
  </si>
  <si>
    <t xml:space="preserve">sada </t>
  </si>
  <si>
    <t>-1609521905</t>
  </si>
  <si>
    <t>741999044</t>
  </si>
  <si>
    <t>propojovací kabeláž</t>
  </si>
  <si>
    <t>-221004807</t>
  </si>
  <si>
    <t>36-M</t>
  </si>
  <si>
    <t>Montáž prov.,měř. a regul. zařízení</t>
  </si>
  <si>
    <t>360020611</t>
  </si>
  <si>
    <t>Vyvrtání otvoru v betonovém zdivu do 450 mm, průměru 30 mm</t>
  </si>
  <si>
    <t>999740959</t>
  </si>
  <si>
    <t>360020611.2</t>
  </si>
  <si>
    <t>Vyvrtání otvoru v betonovém zdivu do 150 mm, průměru 30 mm</t>
  </si>
  <si>
    <t>58282692</t>
  </si>
  <si>
    <t>360020612</t>
  </si>
  <si>
    <t>Vyvrtání otvoru v betonovém zdivu do 700 mm, průměru 50 mm</t>
  </si>
  <si>
    <t>-404269758</t>
  </si>
  <si>
    <t>46-M</t>
  </si>
  <si>
    <t>Zemní práce při extr.mont.pracích</t>
  </si>
  <si>
    <t>460010025</t>
  </si>
  <si>
    <t>Vytyčení trasy inženýrských sítí v zastavěném prostoru</t>
  </si>
  <si>
    <t>1354636263</t>
  </si>
  <si>
    <t>460150153</t>
  </si>
  <si>
    <t>Hloubení kabelových zapažených i nezapažených rýh ručně š 35 cm, hl 70 cm, v hornině tř 3</t>
  </si>
  <si>
    <t>-939213685</t>
  </si>
  <si>
    <t>460560153</t>
  </si>
  <si>
    <t>Zásyp rýh ručně šířky 35 cm, hloubky 70 cm, z horniny třídy 3</t>
  </si>
  <si>
    <t>-285054096</t>
  </si>
  <si>
    <t>460600061</t>
  </si>
  <si>
    <t>Odvoz suti a vybouraných hmot</t>
  </si>
  <si>
    <t>-1558241947</t>
  </si>
  <si>
    <t>941955003R00.1</t>
  </si>
  <si>
    <t>Pronájem lešení lehké pomocné, výška podlahy do 2,5 m 2ks</t>
  </si>
  <si>
    <t>den</t>
  </si>
  <si>
    <t>560570508</t>
  </si>
  <si>
    <t>-1364317817</t>
  </si>
  <si>
    <t>460680592</t>
  </si>
  <si>
    <t>Vysekání rýh pro montáž trubek a kabelů v cihelných zdech hloubky do 5 cm a šířky do 5 cm</t>
  </si>
  <si>
    <t>-1220793300</t>
  </si>
  <si>
    <t>460680593</t>
  </si>
  <si>
    <t>Vysekání rýh pro montáž trubek a kabelů v cihelných zdech hloubky do 5 cm a šířky do 7 cm</t>
  </si>
  <si>
    <t>-76641461</t>
  </si>
  <si>
    <t>460680594</t>
  </si>
  <si>
    <t>Vysekání rýh pro montáž trubek a kabelů v cihelných zdech hloubky do 5 cm a šířky do 10 cm</t>
  </si>
  <si>
    <t>-461637999</t>
  </si>
  <si>
    <t>460680604</t>
  </si>
  <si>
    <t>Vysekání rýh pro montáž trubek a kabelů v cihelných zdech hloubky do 7 cm a šířky do 10 cm</t>
  </si>
  <si>
    <t>730744336</t>
  </si>
  <si>
    <t>460690031.1</t>
  </si>
  <si>
    <t>Osazení hmoždinek včetně vyvrtání otvoru ve stěnách cihelných průměru do 8 mm</t>
  </si>
  <si>
    <t>-1266203589</t>
  </si>
  <si>
    <t>562810840.1</t>
  </si>
  <si>
    <t>hmoždinka HL 8+vrut</t>
  </si>
  <si>
    <t>tis kus</t>
  </si>
  <si>
    <t>-1196962774</t>
  </si>
  <si>
    <t>460690032.1</t>
  </si>
  <si>
    <t>Osazení hmoždinek včetně vyvrtání otvoru ve stěnách cihelných průměru do 12 mm</t>
  </si>
  <si>
    <t>1499011179</t>
  </si>
  <si>
    <t>562810820.1</t>
  </si>
  <si>
    <t>hmoždinka HL 10+vrut</t>
  </si>
  <si>
    <t>1141825045</t>
  </si>
  <si>
    <t>HZS</t>
  </si>
  <si>
    <t>Hodinové zúčtovací sazby</t>
  </si>
  <si>
    <t>50001</t>
  </si>
  <si>
    <t>Likvidace stávající elektroinstalace</t>
  </si>
  <si>
    <t>512</t>
  </si>
  <si>
    <t>2049408128</t>
  </si>
  <si>
    <t>HZS2221</t>
  </si>
  <si>
    <t>Hodinová zúčtovací sazba elektrikář - demontáž stávající elektroinstalace (kabely, světla)</t>
  </si>
  <si>
    <t>-1651040649</t>
  </si>
  <si>
    <t>HZS2222</t>
  </si>
  <si>
    <t>Hodinová zúčtovací sazba elektrikář - připojení na stávající elektroinstalaci</t>
  </si>
  <si>
    <t>-50039035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</si>
  <si>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</si>
  <si>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</si>
  <si>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</si>
  <si>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</si>
  <si>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</si>
  <si>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</si>
  <si>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</si>
  <si>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1386266784</t>
  </si>
  <si>
    <t>VRN3</t>
  </si>
  <si>
    <t>032903000</t>
  </si>
  <si>
    <t>Náklady na provoz a údržbu vybavení staveniště</t>
  </si>
  <si>
    <t>907556156</t>
  </si>
  <si>
    <t>VRN4</t>
  </si>
  <si>
    <t>Inženýrská činnost</t>
  </si>
  <si>
    <t>041103000</t>
  </si>
  <si>
    <t>Autorský dozor projektanta</t>
  </si>
  <si>
    <t>1857977437</t>
  </si>
  <si>
    <t>049103000</t>
  </si>
  <si>
    <t>Náklady vzniklé v souvislosti s realizací stavby</t>
  </si>
  <si>
    <t>-1699358014</t>
  </si>
  <si>
    <t>2. 12. 2024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</si>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</sst>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dd\.mm\.yyyy"/>
    <numFmt numFmtId="166" formatCode="#,##0.00%"/>
    <numFmt numFmtId="167" formatCode="#,##0.00000"/>
    <numFmt numFmtId="168" formatCode="#,##0.000"/>
  </numFmts>
  <fonts count="48" x14ac:knownFonts="1">
    <font>
      <sz val="11"/>
      <name val="Calibri"/>
      <charset val="1"/>
    </font>
    <font>
      <sz val="11"/>
      <color theme="1"/>
      <name val="Calibri"/>
      <family val="2"/>
      <charset val="238"/>
      <scheme val="minor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  <font>
      <i/>
      <sz val="9"/>
      <color rgb="FF00000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rgb="FFD2D2D2"/>
      </patternFill>
    </fill>
  </fills>
  <borders count="1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5">
    <xf numFmtId="0" fontId="0" fillId="0" borderId="0"/>
    <xf numFmtId="0" fontId="13" fillId="0" borderId="86"/>
    <xf numFmtId="0" fontId="1" fillId="0" borderId="86"/>
    <xf numFmtId="44" fontId="1" fillId="0" borderId="86" applyFont="0" applyFill="0" applyBorder="0" applyAlignment="0" applyProtection="0"/>
    <xf numFmtId="0" fontId="26" fillId="0" borderId="86"/>
  </cellStyleXfs>
  <cellXfs count="409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" fontId="9" fillId="0" borderId="16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8" fillId="0" borderId="19" xfId="0" applyFont="1" applyBorder="1" applyAlignment="1">
      <alignment horizontal="left" vertical="center"/>
    </xf>
    <xf numFmtId="4" fontId="9" fillId="0" borderId="23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8" fillId="2" borderId="13" xfId="0" applyNumberFormat="1" applyFont="1" applyFill="1" applyBorder="1" applyAlignment="1">
      <alignment horizontal="right" vertical="center"/>
    </xf>
    <xf numFmtId="4" fontId="8" fillId="2" borderId="18" xfId="0" applyNumberFormat="1" applyFont="1" applyFill="1" applyBorder="1" applyAlignment="1">
      <alignment horizontal="right" vertical="center"/>
    </xf>
    <xf numFmtId="0" fontId="10" fillId="0" borderId="40" xfId="0" applyFont="1" applyBorder="1" applyAlignment="1">
      <alignment horizontal="left" vertical="center"/>
    </xf>
    <xf numFmtId="0" fontId="4" fillId="0" borderId="45" xfId="0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4" fontId="3" fillId="0" borderId="49" xfId="0" applyNumberFormat="1" applyFont="1" applyBorder="1" applyAlignment="1">
      <alignment horizontal="right" vertical="center"/>
    </xf>
    <xf numFmtId="0" fontId="3" fillId="0" borderId="49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3" xfId="0" applyFont="1" applyBorder="1" applyAlignment="1">
      <alignment horizontal="right" vertical="center"/>
    </xf>
    <xf numFmtId="4" fontId="4" fillId="0" borderId="53" xfId="0" applyNumberFormat="1" applyFont="1" applyBorder="1" applyAlignment="1">
      <alignment horizontal="right" vertical="center"/>
    </xf>
    <xf numFmtId="0" fontId="3" fillId="0" borderId="57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6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4" fontId="3" fillId="0" borderId="40" xfId="0" applyNumberFormat="1" applyFont="1" applyBorder="1" applyAlignment="1">
      <alignment horizontal="right" vertical="center"/>
    </xf>
    <xf numFmtId="4" fontId="3" fillId="0" borderId="66" xfId="0" applyNumberFormat="1" applyFont="1" applyBorder="1" applyAlignment="1">
      <alignment horizontal="right" vertical="center"/>
    </xf>
    <xf numFmtId="0" fontId="3" fillId="0" borderId="67" xfId="0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4" fillId="0" borderId="68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4" fillId="2" borderId="0" xfId="0" applyNumberFormat="1" applyFont="1" applyFill="1" applyAlignment="1">
      <alignment horizontal="right" vertical="center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70" xfId="0" applyFont="1" applyBorder="1" applyAlignment="1">
      <alignment horizontal="center" vertical="center"/>
    </xf>
    <xf numFmtId="0" fontId="4" fillId="3" borderId="72" xfId="0" applyFont="1" applyFill="1" applyBorder="1" applyAlignment="1" applyProtection="1">
      <alignment horizontal="center" vertical="center"/>
      <protection locked="0"/>
    </xf>
    <xf numFmtId="0" fontId="4" fillId="0" borderId="73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7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4" fillId="3" borderId="77" xfId="0" applyFont="1" applyFill="1" applyBorder="1" applyAlignment="1" applyProtection="1">
      <alignment horizontal="center" vertical="center"/>
      <protection locked="0"/>
    </xf>
    <xf numFmtId="0" fontId="4" fillId="0" borderId="78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4" borderId="40" xfId="0" applyFont="1" applyFill="1" applyBorder="1" applyAlignment="1" applyProtection="1">
      <alignment horizontal="left" vertical="center"/>
      <protection locked="0"/>
    </xf>
    <xf numFmtId="4" fontId="4" fillId="2" borderId="40" xfId="0" applyNumberFormat="1" applyFont="1" applyFill="1" applyBorder="1" applyAlignment="1">
      <alignment horizontal="right" vertical="center"/>
    </xf>
    <xf numFmtId="0" fontId="4" fillId="2" borderId="66" xfId="0" applyFont="1" applyFill="1" applyBorder="1" applyAlignment="1">
      <alignment horizontal="right" vertical="center"/>
    </xf>
    <xf numFmtId="0" fontId="3" fillId="2" borderId="79" xfId="0" applyFont="1" applyFill="1" applyBorder="1" applyAlignment="1">
      <alignment horizontal="left" vertical="center"/>
    </xf>
    <xf numFmtId="0" fontId="4" fillId="2" borderId="80" xfId="0" applyFont="1" applyFill="1" applyBorder="1" applyAlignment="1">
      <alignment horizontal="left" vertical="center"/>
    </xf>
    <xf numFmtId="0" fontId="3" fillId="2" borderId="80" xfId="0" applyFont="1" applyFill="1" applyBorder="1" applyAlignment="1">
      <alignment horizontal="left" vertical="center"/>
    </xf>
    <xf numFmtId="0" fontId="3" fillId="4" borderId="80" xfId="0" applyFont="1" applyFill="1" applyBorder="1" applyAlignment="1" applyProtection="1">
      <alignment horizontal="left" vertical="center"/>
      <protection locked="0"/>
    </xf>
    <xf numFmtId="4" fontId="4" fillId="2" borderId="80" xfId="0" applyNumberFormat="1" applyFont="1" applyFill="1" applyBorder="1" applyAlignment="1">
      <alignment horizontal="right" vertical="center"/>
    </xf>
    <xf numFmtId="0" fontId="4" fillId="2" borderId="81" xfId="0" applyFont="1" applyFill="1" applyBorder="1" applyAlignment="1">
      <alignment horizontal="right" vertical="center"/>
    </xf>
    <xf numFmtId="0" fontId="3" fillId="5" borderId="82" xfId="0" applyFont="1" applyFill="1" applyBorder="1" applyAlignment="1">
      <alignment horizontal="left" vertical="center"/>
    </xf>
    <xf numFmtId="0" fontId="3" fillId="5" borderId="83" xfId="0" applyFont="1" applyFill="1" applyBorder="1" applyAlignment="1">
      <alignment horizontal="left" vertical="center"/>
    </xf>
    <xf numFmtId="4" fontId="3" fillId="5" borderId="83" xfId="0" applyNumberFormat="1" applyFont="1" applyFill="1" applyBorder="1" applyAlignment="1">
      <alignment horizontal="right" vertical="center"/>
    </xf>
    <xf numFmtId="4" fontId="3" fillId="3" borderId="83" xfId="0" applyNumberFormat="1" applyFont="1" applyFill="1" applyBorder="1" applyAlignment="1" applyProtection="1">
      <alignment horizontal="right" vertical="center"/>
      <protection locked="0"/>
    </xf>
    <xf numFmtId="0" fontId="3" fillId="5" borderId="84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85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4" fontId="3" fillId="0" borderId="86" xfId="0" applyNumberFormat="1" applyFont="1" applyBorder="1" applyAlignment="1">
      <alignment horizontal="right" vertical="center"/>
    </xf>
    <xf numFmtId="4" fontId="3" fillId="3" borderId="86" xfId="0" applyNumberFormat="1" applyFont="1" applyFill="1" applyBorder="1" applyAlignment="1" applyProtection="1">
      <alignment horizontal="right" vertical="center"/>
      <protection locked="0"/>
    </xf>
    <xf numFmtId="0" fontId="3" fillId="0" borderId="87" xfId="0" applyFont="1" applyBorder="1" applyAlignment="1">
      <alignment horizontal="right" vertical="center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4" fillId="2" borderId="6" xfId="0" applyFont="1" applyFill="1" applyBorder="1" applyAlignment="1">
      <alignment horizontal="right" vertical="center"/>
    </xf>
    <xf numFmtId="0" fontId="0" fillId="0" borderId="5" xfId="0" applyBorder="1"/>
    <xf numFmtId="0" fontId="11" fillId="0" borderId="0" xfId="0" applyFont="1" applyAlignment="1">
      <alignment horizontal="right" vertical="center"/>
    </xf>
    <xf numFmtId="4" fontId="3" fillId="3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right" vertical="center"/>
    </xf>
    <xf numFmtId="0" fontId="4" fillId="0" borderId="88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4" fillId="0" borderId="92" xfId="0" applyFont="1" applyBorder="1" applyAlignment="1">
      <alignment horizontal="right" vertical="center"/>
    </xf>
    <xf numFmtId="0" fontId="4" fillId="0" borderId="93" xfId="0" applyFont="1" applyBorder="1" applyAlignment="1">
      <alignment horizontal="left" vertical="center"/>
    </xf>
    <xf numFmtId="0" fontId="4" fillId="2" borderId="65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0" fillId="0" borderId="6" xfId="0" applyBorder="1"/>
    <xf numFmtId="0" fontId="12" fillId="0" borderId="0" xfId="0" applyFont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12" fillId="0" borderId="8" xfId="0" applyFont="1" applyBorder="1" applyAlignment="1">
      <alignment horizontal="left" vertical="center"/>
    </xf>
    <xf numFmtId="4" fontId="12" fillId="0" borderId="8" xfId="0" applyNumberFormat="1" applyFont="1" applyBorder="1" applyAlignment="1">
      <alignment horizontal="right" vertical="center"/>
    </xf>
    <xf numFmtId="0" fontId="0" fillId="0" borderId="9" xfId="0" applyBorder="1"/>
    <xf numFmtId="0" fontId="14" fillId="0" borderId="94" xfId="1" applyFont="1" applyBorder="1"/>
    <xf numFmtId="0" fontId="15" fillId="7" borderId="95" xfId="1" applyFont="1" applyFill="1" applyBorder="1" applyAlignment="1">
      <alignment horizontal="center" vertical="center" wrapText="1"/>
    </xf>
    <xf numFmtId="0" fontId="14" fillId="0" borderId="95" xfId="1" applyFont="1" applyBorder="1" applyAlignment="1">
      <alignment vertical="top" wrapText="1"/>
    </xf>
    <xf numFmtId="0" fontId="1" fillId="0" borderId="86" xfId="2"/>
    <xf numFmtId="0" fontId="14" fillId="0" borderId="99" xfId="1" applyFont="1" applyBorder="1" applyAlignment="1">
      <alignment vertical="top"/>
    </xf>
    <xf numFmtId="0" fontId="15" fillId="7" borderId="100" xfId="1" applyFont="1" applyFill="1" applyBorder="1" applyAlignment="1">
      <alignment horizontal="center" vertical="center" wrapText="1"/>
    </xf>
    <xf numFmtId="0" fontId="14" fillId="0" borderId="100" xfId="1" applyFont="1" applyBorder="1" applyAlignment="1">
      <alignment vertical="top" wrapText="1"/>
    </xf>
    <xf numFmtId="4" fontId="16" fillId="0" borderId="102" xfId="1" applyNumberFormat="1" applyFont="1" applyBorder="1" applyAlignment="1">
      <alignment horizontal="center" vertical="center" wrapText="1"/>
    </xf>
    <xf numFmtId="4" fontId="16" fillId="0" borderId="100" xfId="1" applyNumberFormat="1" applyFont="1" applyBorder="1" applyAlignment="1">
      <alignment horizontal="center" vertical="center" wrapText="1"/>
    </xf>
    <xf numFmtId="164" fontId="17" fillId="0" borderId="101" xfId="3" applyNumberFormat="1" applyFont="1" applyBorder="1" applyAlignment="1">
      <alignment horizontal="left" vertical="top"/>
    </xf>
    <xf numFmtId="164" fontId="17" fillId="0" borderId="103" xfId="3" applyNumberFormat="1" applyFont="1" applyBorder="1" applyAlignment="1">
      <alignment horizontal="left" vertical="top"/>
    </xf>
    <xf numFmtId="0" fontId="18" fillId="0" borderId="104" xfId="2" applyFont="1" applyBorder="1" applyAlignment="1">
      <alignment horizontal="left" vertical="center"/>
    </xf>
    <xf numFmtId="0" fontId="18" fillId="0" borderId="105" xfId="2" applyFont="1" applyBorder="1" applyAlignment="1">
      <alignment horizontal="left" vertical="center"/>
    </xf>
    <xf numFmtId="0" fontId="19" fillId="0" borderId="105" xfId="1" applyFont="1" applyBorder="1" applyAlignment="1">
      <alignment horizontal="center" vertical="center" wrapText="1"/>
    </xf>
    <xf numFmtId="4" fontId="19" fillId="0" borderId="105" xfId="1" applyNumberFormat="1" applyFont="1" applyBorder="1" applyAlignment="1">
      <alignment horizontal="center" vertical="center" wrapText="1"/>
    </xf>
    <xf numFmtId="0" fontId="19" fillId="0" borderId="106" xfId="1" applyFont="1" applyBorder="1" applyAlignment="1">
      <alignment horizontal="center" vertical="center" wrapText="1"/>
    </xf>
    <xf numFmtId="164" fontId="14" fillId="0" borderId="107" xfId="3" applyNumberFormat="1" applyFont="1" applyBorder="1" applyAlignment="1">
      <alignment horizontal="center" vertical="center" wrapText="1"/>
    </xf>
    <xf numFmtId="164" fontId="14" fillId="0" borderId="108" xfId="3" applyNumberFormat="1" applyFont="1" applyBorder="1" applyAlignment="1">
      <alignment horizontal="center" vertical="center" wrapText="1"/>
    </xf>
    <xf numFmtId="0" fontId="20" fillId="8" borderId="109" xfId="1" applyFont="1" applyFill="1" applyBorder="1" applyAlignment="1">
      <alignment vertical="top"/>
    </xf>
    <xf numFmtId="4" fontId="20" fillId="0" borderId="112" xfId="2" applyNumberFormat="1" applyFont="1" applyBorder="1" applyAlignment="1">
      <alignment horizontal="center" vertical="center"/>
    </xf>
    <xf numFmtId="0" fontId="20" fillId="0" borderId="110" xfId="2" applyFont="1" applyBorder="1" applyAlignment="1">
      <alignment horizontal="center" wrapText="1"/>
    </xf>
    <xf numFmtId="3" fontId="20" fillId="0" borderId="110" xfId="2" applyNumberFormat="1" applyFont="1" applyBorder="1" applyAlignment="1">
      <alignment horizontal="center" wrapText="1"/>
    </xf>
    <xf numFmtId="0" fontId="20" fillId="0" borderId="110" xfId="1" applyFont="1" applyBorder="1" applyAlignment="1">
      <alignment horizontal="center" wrapText="1"/>
    </xf>
    <xf numFmtId="164" fontId="20" fillId="0" borderId="110" xfId="3" applyNumberFormat="1" applyFont="1" applyBorder="1" applyAlignment="1">
      <alignment horizontal="center" wrapText="1"/>
    </xf>
    <xf numFmtId="164" fontId="20" fillId="0" borderId="111" xfId="3" applyNumberFormat="1" applyFont="1" applyBorder="1" applyAlignment="1" applyProtection="1">
      <alignment horizontal="center" wrapText="1"/>
      <protection locked="0"/>
    </xf>
    <xf numFmtId="0" fontId="17" fillId="0" borderId="109" xfId="2" applyFont="1" applyBorder="1" applyAlignment="1">
      <alignment horizontal="center"/>
    </xf>
    <xf numFmtId="0" fontId="20" fillId="0" borderId="86" xfId="2" applyFont="1"/>
    <xf numFmtId="0" fontId="22" fillId="0" borderId="86" xfId="2" applyFont="1" applyAlignment="1">
      <alignment horizontal="center"/>
    </xf>
    <xf numFmtId="3" fontId="22" fillId="0" borderId="86" xfId="2" applyNumberFormat="1" applyFont="1" applyAlignment="1">
      <alignment horizontal="center"/>
    </xf>
    <xf numFmtId="4" fontId="22" fillId="0" borderId="86" xfId="2" applyNumberFormat="1" applyFont="1" applyAlignment="1" applyProtection="1">
      <alignment horizontal="center"/>
      <protection locked="0"/>
    </xf>
    <xf numFmtId="164" fontId="22" fillId="0" borderId="86" xfId="3" applyNumberFormat="1" applyFont="1" applyBorder="1" applyAlignment="1"/>
    <xf numFmtId="164" fontId="17" fillId="0" borderId="113" xfId="3" applyNumberFormat="1" applyFont="1" applyBorder="1"/>
    <xf numFmtId="0" fontId="17" fillId="0" borderId="86" xfId="2" applyFont="1" applyAlignment="1">
      <alignment wrapText="1"/>
    </xf>
    <xf numFmtId="3" fontId="22" fillId="0" borderId="86" xfId="2" applyNumberFormat="1" applyFont="1" applyAlignment="1">
      <alignment horizontal="center" vertical="center"/>
    </xf>
    <xf numFmtId="4" fontId="22" fillId="0" borderId="86" xfId="2" applyNumberFormat="1" applyFont="1" applyAlignment="1" applyProtection="1">
      <alignment horizontal="center" vertical="center"/>
      <protection locked="0"/>
    </xf>
    <xf numFmtId="164" fontId="22" fillId="9" borderId="86" xfId="3" applyNumberFormat="1" applyFont="1" applyFill="1" applyBorder="1" applyAlignment="1">
      <alignment vertical="center"/>
    </xf>
    <xf numFmtId="164" fontId="17" fillId="0" borderId="113" xfId="3" applyNumberFormat="1" applyFont="1" applyBorder="1" applyAlignment="1">
      <alignment vertical="center"/>
    </xf>
    <xf numFmtId="0" fontId="22" fillId="0" borderId="86" xfId="2" applyFont="1"/>
    <xf numFmtId="164" fontId="22" fillId="9" borderId="86" xfId="3" applyNumberFormat="1" applyFont="1" applyFill="1" applyBorder="1" applyAlignment="1"/>
    <xf numFmtId="0" fontId="22" fillId="0" borderId="86" xfId="2" applyFont="1" applyAlignment="1">
      <alignment wrapText="1"/>
    </xf>
    <xf numFmtId="0" fontId="23" fillId="0" borderId="86" xfId="2" applyFont="1"/>
    <xf numFmtId="3" fontId="22" fillId="0" borderId="86" xfId="2" applyNumberFormat="1" applyFont="1" applyAlignment="1" applyProtection="1">
      <alignment horizontal="center"/>
      <protection locked="0"/>
    </xf>
    <xf numFmtId="0" fontId="17" fillId="0" borderId="86" xfId="2" applyFont="1"/>
    <xf numFmtId="4" fontId="22" fillId="0" borderId="86" xfId="2" applyNumberFormat="1" applyFont="1" applyAlignment="1">
      <alignment horizontal="center"/>
    </xf>
    <xf numFmtId="0" fontId="19" fillId="8" borderId="114" xfId="1" applyFont="1" applyFill="1" applyBorder="1" applyAlignment="1">
      <alignment horizontal="left" vertical="center" wrapText="1"/>
    </xf>
    <xf numFmtId="0" fontId="24" fillId="8" borderId="115" xfId="1" applyFont="1" applyFill="1" applyBorder="1" applyAlignment="1">
      <alignment horizontal="left" vertical="center" wrapText="1"/>
    </xf>
    <xf numFmtId="0" fontId="25" fillId="8" borderId="115" xfId="1" applyFont="1" applyFill="1" applyBorder="1" applyAlignment="1">
      <alignment horizontal="left" vertical="center" wrapText="1"/>
    </xf>
    <xf numFmtId="0" fontId="25" fillId="8" borderId="115" xfId="1" applyFont="1" applyFill="1" applyBorder="1" applyAlignment="1">
      <alignment horizontal="center" vertical="center" wrapText="1"/>
    </xf>
    <xf numFmtId="49" fontId="25" fillId="8" borderId="115" xfId="1" applyNumberFormat="1" applyFont="1" applyFill="1" applyBorder="1" applyAlignment="1">
      <alignment horizontal="center" vertical="center" wrapText="1"/>
    </xf>
    <xf numFmtId="164" fontId="25" fillId="8" borderId="115" xfId="3" applyNumberFormat="1" applyFont="1" applyFill="1" applyBorder="1" applyAlignment="1">
      <alignment horizontal="left" vertical="center" wrapText="1"/>
    </xf>
    <xf numFmtId="164" fontId="15" fillId="8" borderId="116" xfId="3" applyNumberFormat="1" applyFont="1" applyFill="1" applyBorder="1" applyAlignment="1">
      <alignment vertical="center"/>
    </xf>
    <xf numFmtId="0" fontId="17" fillId="10" borderId="109" xfId="2" applyFont="1" applyFill="1" applyBorder="1" applyAlignment="1">
      <alignment horizontal="center"/>
    </xf>
    <xf numFmtId="0" fontId="15" fillId="10" borderId="86" xfId="2" applyFont="1" applyFill="1" applyAlignment="1">
      <alignment wrapText="1"/>
    </xf>
    <xf numFmtId="0" fontId="22" fillId="10" borderId="86" xfId="2" applyFont="1" applyFill="1" applyAlignment="1">
      <alignment horizontal="center"/>
    </xf>
    <xf numFmtId="3" fontId="22" fillId="10" borderId="86" xfId="2" applyNumberFormat="1" applyFont="1" applyFill="1" applyAlignment="1">
      <alignment horizontal="center"/>
    </xf>
    <xf numFmtId="4" fontId="22" fillId="10" borderId="86" xfId="2" applyNumberFormat="1" applyFont="1" applyFill="1" applyAlignment="1" applyProtection="1">
      <alignment horizontal="center"/>
      <protection locked="0"/>
    </xf>
    <xf numFmtId="164" fontId="22" fillId="10" borderId="86" xfId="3" applyNumberFormat="1" applyFont="1" applyFill="1" applyBorder="1" applyAlignment="1"/>
    <xf numFmtId="164" fontId="17" fillId="10" borderId="113" xfId="3" applyNumberFormat="1" applyFont="1" applyFill="1" applyBorder="1"/>
    <xf numFmtId="0" fontId="1" fillId="10" borderId="86" xfId="2" applyFill="1"/>
    <xf numFmtId="0" fontId="20" fillId="0" borderId="86" xfId="2" applyFont="1" applyAlignment="1">
      <alignment vertical="center"/>
    </xf>
    <xf numFmtId="0" fontId="17" fillId="0" borderId="86" xfId="2" applyFont="1" applyAlignment="1">
      <alignment vertical="center"/>
    </xf>
    <xf numFmtId="0" fontId="26" fillId="0" borderId="86" xfId="4"/>
    <xf numFmtId="0" fontId="26" fillId="0" borderId="86" xfId="4" applyAlignment="1">
      <alignment horizontal="left" vertical="center"/>
    </xf>
    <xf numFmtId="0" fontId="26" fillId="0" borderId="2" xfId="4" applyBorder="1"/>
    <xf numFmtId="0" fontId="26" fillId="0" borderId="3" xfId="4" applyBorder="1"/>
    <xf numFmtId="0" fontId="26" fillId="0" borderId="85" xfId="4" applyBorder="1"/>
    <xf numFmtId="0" fontId="28" fillId="0" borderId="86" xfId="4" applyFont="1" applyAlignment="1">
      <alignment horizontal="left" vertical="center"/>
    </xf>
    <xf numFmtId="0" fontId="29" fillId="0" borderId="86" xfId="4" applyFont="1" applyAlignment="1">
      <alignment horizontal="left" vertical="center"/>
    </xf>
    <xf numFmtId="0" fontId="26" fillId="0" borderId="86" xfId="4" applyAlignment="1">
      <alignment vertical="center"/>
    </xf>
    <xf numFmtId="0" fontId="26" fillId="0" borderId="85" xfId="4" applyBorder="1" applyAlignment="1">
      <alignment vertical="center"/>
    </xf>
    <xf numFmtId="0" fontId="30" fillId="0" borderId="86" xfId="4" applyFont="1" applyAlignment="1">
      <alignment horizontal="left" vertical="center"/>
    </xf>
    <xf numFmtId="0" fontId="32" fillId="0" borderId="86" xfId="4" applyFont="1" applyAlignment="1">
      <alignment horizontal="left" vertical="center"/>
    </xf>
    <xf numFmtId="165" fontId="32" fillId="0" borderId="86" xfId="4" applyNumberFormat="1" applyFont="1" applyAlignment="1">
      <alignment horizontal="left" vertical="center"/>
    </xf>
    <xf numFmtId="0" fontId="32" fillId="6" borderId="86" xfId="4" applyFont="1" applyFill="1" applyAlignment="1" applyProtection="1">
      <alignment horizontal="left" vertical="center"/>
      <protection locked="0"/>
    </xf>
    <xf numFmtId="0" fontId="26" fillId="0" borderId="86" xfId="4" applyAlignment="1">
      <alignment vertical="center" wrapText="1"/>
    </xf>
    <xf numFmtId="0" fontId="26" fillId="0" borderId="85" xfId="4" applyBorder="1" applyAlignment="1">
      <alignment vertical="center" wrapText="1"/>
    </xf>
    <xf numFmtId="0" fontId="32" fillId="0" borderId="86" xfId="4" applyFont="1" applyAlignment="1">
      <alignment horizontal="left" vertical="center" wrapText="1"/>
    </xf>
    <xf numFmtId="0" fontId="26" fillId="0" borderId="117" xfId="4" applyBorder="1" applyAlignment="1">
      <alignment vertical="center"/>
    </xf>
    <xf numFmtId="0" fontId="33" fillId="0" borderId="86" xfId="4" applyFont="1" applyAlignment="1">
      <alignment horizontal="left" vertical="center"/>
    </xf>
    <xf numFmtId="4" fontId="34" fillId="0" borderId="86" xfId="4" applyNumberFormat="1" applyFont="1" applyAlignment="1">
      <alignment vertical="center"/>
    </xf>
    <xf numFmtId="0" fontId="30" fillId="0" borderId="86" xfId="4" applyFont="1" applyAlignment="1">
      <alignment horizontal="right" vertical="center"/>
    </xf>
    <xf numFmtId="0" fontId="35" fillId="0" borderId="86" xfId="4" applyFont="1" applyAlignment="1">
      <alignment horizontal="left" vertical="center"/>
    </xf>
    <xf numFmtId="4" fontId="30" fillId="0" borderId="86" xfId="4" applyNumberFormat="1" applyFont="1" applyAlignment="1">
      <alignment vertical="center"/>
    </xf>
    <xf numFmtId="166" fontId="30" fillId="0" borderId="86" xfId="4" applyNumberFormat="1" applyFont="1" applyAlignment="1">
      <alignment horizontal="right" vertical="center"/>
    </xf>
    <xf numFmtId="0" fontId="26" fillId="12" borderId="86" xfId="4" applyFill="1" applyAlignment="1">
      <alignment vertical="center"/>
    </xf>
    <xf numFmtId="0" fontId="36" fillId="12" borderId="118" xfId="4" applyFont="1" applyFill="1" applyBorder="1" applyAlignment="1">
      <alignment horizontal="left" vertical="center"/>
    </xf>
    <xf numFmtId="0" fontId="26" fillId="12" borderId="119" xfId="4" applyFill="1" applyBorder="1" applyAlignment="1">
      <alignment vertical="center"/>
    </xf>
    <xf numFmtId="0" fontId="36" fillId="12" borderId="119" xfId="4" applyFont="1" applyFill="1" applyBorder="1" applyAlignment="1">
      <alignment horizontal="right" vertical="center"/>
    </xf>
    <xf numFmtId="0" fontId="36" fillId="12" borderId="119" xfId="4" applyFont="1" applyFill="1" applyBorder="1" applyAlignment="1">
      <alignment horizontal="center" vertical="center"/>
    </xf>
    <xf numFmtId="4" fontId="36" fillId="12" borderId="119" xfId="4" applyNumberFormat="1" applyFont="1" applyFill="1" applyBorder="1" applyAlignment="1">
      <alignment vertical="center"/>
    </xf>
    <xf numFmtId="0" fontId="26" fillId="12" borderId="120" xfId="4" applyFill="1" applyBorder="1" applyAlignment="1">
      <alignment vertical="center"/>
    </xf>
    <xf numFmtId="0" fontId="37" fillId="0" borderId="121" xfId="4" applyFont="1" applyBorder="1" applyAlignment="1">
      <alignment horizontal="left" vertical="center"/>
    </xf>
    <xf numFmtId="0" fontId="26" fillId="0" borderId="121" xfId="4" applyBorder="1" applyAlignment="1">
      <alignment vertical="center"/>
    </xf>
    <xf numFmtId="0" fontId="30" fillId="0" borderId="122" xfId="4" applyFont="1" applyBorder="1" applyAlignment="1">
      <alignment horizontal="left" vertical="center"/>
    </xf>
    <xf numFmtId="0" fontId="26" fillId="0" borderId="122" xfId="4" applyBorder="1" applyAlignment="1">
      <alignment vertical="center"/>
    </xf>
    <xf numFmtId="0" fontId="30" fillId="0" borderId="122" xfId="4" applyFont="1" applyBorder="1" applyAlignment="1">
      <alignment horizontal="center" vertical="center"/>
    </xf>
    <xf numFmtId="0" fontId="30" fillId="0" borderId="122" xfId="4" applyFont="1" applyBorder="1" applyAlignment="1">
      <alignment horizontal="right" vertical="center"/>
    </xf>
    <xf numFmtId="0" fontId="26" fillId="0" borderId="20" xfId="4" applyBorder="1" applyAlignment="1">
      <alignment vertical="center"/>
    </xf>
    <xf numFmtId="0" fontId="26" fillId="0" borderId="28" xfId="4" applyBorder="1" applyAlignment="1">
      <alignment vertical="center"/>
    </xf>
    <xf numFmtId="0" fontId="26" fillId="0" borderId="2" xfId="4" applyBorder="1" applyAlignment="1">
      <alignment vertical="center"/>
    </xf>
    <xf numFmtId="0" fontId="26" fillId="0" borderId="3" xfId="4" applyBorder="1" applyAlignment="1">
      <alignment vertical="center"/>
    </xf>
    <xf numFmtId="0" fontId="38" fillId="12" borderId="86" xfId="4" applyFont="1" applyFill="1" applyAlignment="1">
      <alignment horizontal="left" vertical="center"/>
    </xf>
    <xf numFmtId="0" fontId="38" fillId="12" borderId="86" xfId="4" applyFont="1" applyFill="1" applyAlignment="1">
      <alignment horizontal="right" vertical="center"/>
    </xf>
    <xf numFmtId="0" fontId="39" fillId="0" borderId="86" xfId="4" applyFont="1" applyAlignment="1">
      <alignment horizontal="left" vertical="center"/>
    </xf>
    <xf numFmtId="0" fontId="40" fillId="0" borderId="86" xfId="4" applyFont="1" applyAlignment="1">
      <alignment vertical="center"/>
    </xf>
    <xf numFmtId="0" fontId="40" fillId="0" borderId="85" xfId="4" applyFont="1" applyBorder="1" applyAlignment="1">
      <alignment vertical="center"/>
    </xf>
    <xf numFmtId="0" fontId="40" fillId="0" borderId="123" xfId="4" applyFont="1" applyBorder="1" applyAlignment="1">
      <alignment horizontal="left" vertical="center"/>
    </xf>
    <xf numFmtId="0" fontId="40" fillId="0" borderId="123" xfId="4" applyFont="1" applyBorder="1" applyAlignment="1">
      <alignment vertical="center"/>
    </xf>
    <xf numFmtId="4" fontId="40" fillId="0" borderId="123" xfId="4" applyNumberFormat="1" applyFont="1" applyBorder="1" applyAlignment="1">
      <alignment vertical="center"/>
    </xf>
    <xf numFmtId="0" fontId="41" fillId="0" borderId="86" xfId="4" applyFont="1" applyAlignment="1">
      <alignment vertical="center"/>
    </xf>
    <xf numFmtId="0" fontId="41" fillId="0" borderId="85" xfId="4" applyFont="1" applyBorder="1" applyAlignment="1">
      <alignment vertical="center"/>
    </xf>
    <xf numFmtId="0" fontId="41" fillId="0" borderId="123" xfId="4" applyFont="1" applyBorder="1" applyAlignment="1">
      <alignment horizontal="left" vertical="center"/>
    </xf>
    <xf numFmtId="0" fontId="41" fillId="0" borderId="123" xfId="4" applyFont="1" applyBorder="1" applyAlignment="1">
      <alignment vertical="center"/>
    </xf>
    <xf numFmtId="4" fontId="41" fillId="0" borderId="123" xfId="4" applyNumberFormat="1" applyFont="1" applyBorder="1" applyAlignment="1">
      <alignment vertical="center"/>
    </xf>
    <xf numFmtId="0" fontId="26" fillId="0" borderId="86" xfId="4" applyAlignment="1">
      <alignment horizontal="center" vertical="center" wrapText="1"/>
    </xf>
    <xf numFmtId="0" fontId="26" fillId="0" borderId="85" xfId="4" applyBorder="1" applyAlignment="1">
      <alignment horizontal="center" vertical="center" wrapText="1"/>
    </xf>
    <xf numFmtId="0" fontId="38" fillId="12" borderId="124" xfId="4" applyFont="1" applyFill="1" applyBorder="1" applyAlignment="1">
      <alignment horizontal="center" vertical="center" wrapText="1"/>
    </xf>
    <xf numFmtId="0" fontId="38" fillId="12" borderId="125" xfId="4" applyFont="1" applyFill="1" applyBorder="1" applyAlignment="1">
      <alignment horizontal="center" vertical="center" wrapText="1"/>
    </xf>
    <xf numFmtId="0" fontId="38" fillId="12" borderId="126" xfId="4" applyFont="1" applyFill="1" applyBorder="1" applyAlignment="1">
      <alignment horizontal="center" vertical="center" wrapText="1"/>
    </xf>
    <xf numFmtId="0" fontId="38" fillId="12" borderId="86" xfId="4" applyFont="1" applyFill="1" applyAlignment="1">
      <alignment horizontal="center" vertical="center" wrapText="1"/>
    </xf>
    <xf numFmtId="0" fontId="42" fillId="0" borderId="124" xfId="4" applyFont="1" applyBorder="1" applyAlignment="1">
      <alignment horizontal="center" vertical="center" wrapText="1"/>
    </xf>
    <xf numFmtId="0" fontId="42" fillId="0" borderId="125" xfId="4" applyFont="1" applyBorder="1" applyAlignment="1">
      <alignment horizontal="center" vertical="center" wrapText="1"/>
    </xf>
    <xf numFmtId="0" fontId="42" fillId="0" borderId="126" xfId="4" applyFont="1" applyBorder="1" applyAlignment="1">
      <alignment horizontal="center" vertical="center" wrapText="1"/>
    </xf>
    <xf numFmtId="0" fontId="34" fillId="0" borderId="86" xfId="4" applyFont="1" applyAlignment="1">
      <alignment horizontal="left" vertical="center"/>
    </xf>
    <xf numFmtId="4" fontId="34" fillId="0" borderId="86" xfId="4" applyNumberFormat="1" applyFont="1"/>
    <xf numFmtId="0" fontId="26" fillId="0" borderId="127" xfId="4" applyBorder="1" applyAlignment="1">
      <alignment vertical="center"/>
    </xf>
    <xf numFmtId="167" fontId="43" fillId="0" borderId="117" xfId="4" applyNumberFormat="1" applyFont="1" applyBorder="1"/>
    <xf numFmtId="167" fontId="43" fillId="0" borderId="128" xfId="4" applyNumberFormat="1" applyFont="1" applyBorder="1"/>
    <xf numFmtId="4" fontId="44" fillId="0" borderId="86" xfId="4" applyNumberFormat="1" applyFont="1" applyAlignment="1">
      <alignment vertical="center"/>
    </xf>
    <xf numFmtId="0" fontId="45" fillId="0" borderId="86" xfId="4" applyFont="1"/>
    <xf numFmtId="0" fontId="45" fillId="0" borderId="85" xfId="4" applyFont="1" applyBorder="1"/>
    <xf numFmtId="0" fontId="45" fillId="0" borderId="86" xfId="4" applyFont="1" applyAlignment="1">
      <alignment horizontal="left"/>
    </xf>
    <xf numFmtId="0" fontId="40" fillId="0" borderId="86" xfId="4" applyFont="1" applyAlignment="1">
      <alignment horizontal="left"/>
    </xf>
    <xf numFmtId="0" fontId="45" fillId="0" borderId="86" xfId="4" applyFont="1" applyProtection="1">
      <protection locked="0"/>
    </xf>
    <xf numFmtId="4" fontId="40" fillId="0" borderId="86" xfId="4" applyNumberFormat="1" applyFont="1"/>
    <xf numFmtId="0" fontId="45" fillId="0" borderId="129" xfId="4" applyFont="1" applyBorder="1"/>
    <xf numFmtId="167" fontId="45" fillId="0" borderId="86" xfId="4" applyNumberFormat="1" applyFont="1"/>
    <xf numFmtId="167" fontId="45" fillId="0" borderId="130" xfId="4" applyNumberFormat="1" applyFont="1" applyBorder="1"/>
    <xf numFmtId="0" fontId="45" fillId="0" borderId="86" xfId="4" applyFont="1" applyAlignment="1">
      <alignment horizontal="center"/>
    </xf>
    <xf numFmtId="4" fontId="45" fillId="0" borderId="86" xfId="4" applyNumberFormat="1" applyFont="1" applyAlignment="1">
      <alignment vertical="center"/>
    </xf>
    <xf numFmtId="0" fontId="41" fillId="0" borderId="86" xfId="4" applyFont="1" applyAlignment="1">
      <alignment horizontal="left"/>
    </xf>
    <xf numFmtId="4" fontId="41" fillId="0" borderId="86" xfId="4" applyNumberFormat="1" applyFont="1"/>
    <xf numFmtId="0" fontId="26" fillId="0" borderId="85" xfId="4" applyBorder="1" applyAlignment="1" applyProtection="1">
      <alignment vertical="center"/>
      <protection locked="0"/>
    </xf>
    <xf numFmtId="0" fontId="46" fillId="0" borderId="131" xfId="4" applyFont="1" applyBorder="1" applyAlignment="1" applyProtection="1">
      <alignment horizontal="center" vertical="center"/>
      <protection locked="0"/>
    </xf>
    <xf numFmtId="49" fontId="46" fillId="0" borderId="131" xfId="4" applyNumberFormat="1" applyFont="1" applyBorder="1" applyAlignment="1" applyProtection="1">
      <alignment horizontal="left" vertical="center" wrapText="1"/>
      <protection locked="0"/>
    </xf>
    <xf numFmtId="0" fontId="46" fillId="0" borderId="131" xfId="4" applyFont="1" applyBorder="1" applyAlignment="1" applyProtection="1">
      <alignment horizontal="left" vertical="center" wrapText="1"/>
      <protection locked="0"/>
    </xf>
    <xf numFmtId="0" fontId="46" fillId="0" borderId="131" xfId="4" applyFont="1" applyBorder="1" applyAlignment="1" applyProtection="1">
      <alignment horizontal="center" vertical="center" wrapText="1"/>
      <protection locked="0"/>
    </xf>
    <xf numFmtId="168" fontId="46" fillId="0" borderId="131" xfId="4" applyNumberFormat="1" applyFont="1" applyBorder="1" applyAlignment="1" applyProtection="1">
      <alignment vertical="center"/>
      <protection locked="0"/>
    </xf>
    <xf numFmtId="4" fontId="46" fillId="6" borderId="131" xfId="4" applyNumberFormat="1" applyFont="1" applyFill="1" applyBorder="1" applyAlignment="1" applyProtection="1">
      <alignment vertical="center"/>
      <protection locked="0"/>
    </xf>
    <xf numFmtId="4" fontId="46" fillId="0" borderId="131" xfId="4" applyNumberFormat="1" applyFont="1" applyBorder="1" applyAlignment="1" applyProtection="1">
      <alignment vertical="center"/>
      <protection locked="0"/>
    </xf>
    <xf numFmtId="0" fontId="47" fillId="0" borderId="131" xfId="4" applyFont="1" applyBorder="1" applyAlignment="1" applyProtection="1">
      <alignment vertical="center"/>
      <protection locked="0"/>
    </xf>
    <xf numFmtId="0" fontId="47" fillId="0" borderId="85" xfId="4" applyFont="1" applyBorder="1" applyAlignment="1">
      <alignment vertical="center"/>
    </xf>
    <xf numFmtId="0" fontId="46" fillId="6" borderId="129" xfId="4" applyFont="1" applyFill="1" applyBorder="1" applyAlignment="1" applyProtection="1">
      <alignment horizontal="left" vertical="center"/>
      <protection locked="0"/>
    </xf>
    <xf numFmtId="0" fontId="46" fillId="0" borderId="86" xfId="4" applyFont="1" applyAlignment="1">
      <alignment horizontal="center" vertical="center"/>
    </xf>
    <xf numFmtId="167" fontId="42" fillId="0" borderId="86" xfId="4" applyNumberFormat="1" applyFont="1" applyAlignment="1">
      <alignment vertical="center"/>
    </xf>
    <xf numFmtId="167" fontId="42" fillId="0" borderId="130" xfId="4" applyNumberFormat="1" applyFont="1" applyBorder="1" applyAlignment="1">
      <alignment vertical="center"/>
    </xf>
    <xf numFmtId="0" fontId="38" fillId="0" borderId="86" xfId="4" applyFont="1" applyAlignment="1">
      <alignment horizontal="left" vertical="center"/>
    </xf>
    <xf numFmtId="4" fontId="26" fillId="0" borderId="86" xfId="4" applyNumberFormat="1" applyAlignment="1">
      <alignment vertical="center"/>
    </xf>
    <xf numFmtId="0" fontId="38" fillId="0" borderId="131" xfId="4" applyFont="1" applyBorder="1" applyAlignment="1" applyProtection="1">
      <alignment horizontal="center" vertical="center"/>
      <protection locked="0"/>
    </xf>
    <xf numFmtId="49" fontId="38" fillId="0" borderId="131" xfId="4" applyNumberFormat="1" applyFont="1" applyBorder="1" applyAlignment="1" applyProtection="1">
      <alignment horizontal="left" vertical="center" wrapText="1"/>
      <protection locked="0"/>
    </xf>
    <xf numFmtId="0" fontId="38" fillId="0" borderId="131" xfId="4" applyFont="1" applyBorder="1" applyAlignment="1" applyProtection="1">
      <alignment horizontal="left" vertical="center" wrapText="1"/>
      <protection locked="0"/>
    </xf>
    <xf numFmtId="0" fontId="38" fillId="0" borderId="131" xfId="4" applyFont="1" applyBorder="1" applyAlignment="1" applyProtection="1">
      <alignment horizontal="center" vertical="center" wrapText="1"/>
      <protection locked="0"/>
    </xf>
    <xf numFmtId="168" fontId="38" fillId="0" borderId="131" xfId="4" applyNumberFormat="1" applyFont="1" applyBorder="1" applyAlignment="1" applyProtection="1">
      <alignment vertical="center"/>
      <protection locked="0"/>
    </xf>
    <xf numFmtId="4" fontId="38" fillId="6" borderId="131" xfId="4" applyNumberFormat="1" applyFont="1" applyFill="1" applyBorder="1" applyAlignment="1" applyProtection="1">
      <alignment vertical="center"/>
      <protection locked="0"/>
    </xf>
    <xf numFmtId="4" fontId="38" fillId="0" borderId="131" xfId="4" applyNumberFormat="1" applyFont="1" applyBorder="1" applyAlignment="1" applyProtection="1">
      <alignment vertical="center"/>
      <protection locked="0"/>
    </xf>
    <xf numFmtId="0" fontId="26" fillId="0" borderId="131" xfId="4" applyBorder="1" applyAlignment="1" applyProtection="1">
      <alignment vertical="center"/>
      <protection locked="0"/>
    </xf>
    <xf numFmtId="0" fontId="42" fillId="6" borderId="129" xfId="4" applyFont="1" applyFill="1" applyBorder="1" applyAlignment="1" applyProtection="1">
      <alignment horizontal="left" vertical="center"/>
      <protection locked="0"/>
    </xf>
    <xf numFmtId="0" fontId="42" fillId="0" borderId="86" xfId="4" applyFont="1" applyAlignment="1">
      <alignment horizontal="center" vertical="center"/>
    </xf>
    <xf numFmtId="168" fontId="38" fillId="6" borderId="131" xfId="4" applyNumberFormat="1" applyFont="1" applyFill="1" applyBorder="1" applyAlignment="1" applyProtection="1">
      <alignment vertical="center"/>
      <protection locked="0"/>
    </xf>
    <xf numFmtId="0" fontId="42" fillId="6" borderId="132" xfId="4" applyFont="1" applyFill="1" applyBorder="1" applyAlignment="1" applyProtection="1">
      <alignment horizontal="left" vertical="center"/>
      <protection locked="0"/>
    </xf>
    <xf numFmtId="0" fontId="42" fillId="0" borderId="123" xfId="4" applyFont="1" applyBorder="1" applyAlignment="1">
      <alignment horizontal="center" vertical="center"/>
    </xf>
    <xf numFmtId="0" fontId="26" fillId="0" borderId="123" xfId="4" applyBorder="1" applyAlignment="1">
      <alignment vertical="center"/>
    </xf>
    <xf numFmtId="167" fontId="42" fillId="0" borderId="123" xfId="4" applyNumberFormat="1" applyFont="1" applyBorder="1" applyAlignment="1">
      <alignment vertical="center"/>
    </xf>
    <xf numFmtId="167" fontId="42" fillId="0" borderId="133" xfId="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4" fontId="8" fillId="0" borderId="54" xfId="0" applyNumberFormat="1" applyFont="1" applyBorder="1" applyAlignment="1">
      <alignment horizontal="right" vertical="center"/>
    </xf>
    <xf numFmtId="0" fontId="8" fillId="0" borderId="51" xfId="0" applyFont="1" applyBorder="1" applyAlignment="1">
      <alignment horizontal="right" vertical="center"/>
    </xf>
    <xf numFmtId="0" fontId="8" fillId="0" borderId="52" xfId="0" applyFont="1" applyBorder="1" applyAlignment="1">
      <alignment horizontal="right" vertical="center"/>
    </xf>
    <xf numFmtId="0" fontId="8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0" borderId="6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 wrapText="1"/>
    </xf>
    <xf numFmtId="0" fontId="3" fillId="0" borderId="86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/>
    </xf>
    <xf numFmtId="0" fontId="4" fillId="2" borderId="80" xfId="0" applyFont="1" applyFill="1" applyBorder="1" applyAlignment="1">
      <alignment horizontal="left" vertical="center" wrapText="1"/>
    </xf>
    <xf numFmtId="0" fontId="4" fillId="2" borderId="80" xfId="0" applyFont="1" applyFill="1" applyBorder="1" applyAlignment="1">
      <alignment horizontal="left" vertical="center"/>
    </xf>
    <xf numFmtId="0" fontId="3" fillId="5" borderId="83" xfId="0" applyFont="1" applyFill="1" applyBorder="1" applyAlignment="1">
      <alignment horizontal="left" vertical="center" wrapText="1"/>
    </xf>
    <xf numFmtId="0" fontId="3" fillId="5" borderId="83" xfId="0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41" xfId="0" applyFont="1" applyFill="1" applyBorder="1" applyAlignment="1" applyProtection="1">
      <alignment horizontal="left" vertical="center"/>
      <protection locked="0"/>
    </xf>
    <xf numFmtId="0" fontId="3" fillId="3" borderId="56" xfId="0" applyFont="1" applyFill="1" applyBorder="1" applyAlignment="1" applyProtection="1">
      <alignment horizontal="left" vertical="center"/>
      <protection locked="0"/>
    </xf>
    <xf numFmtId="0" fontId="4" fillId="0" borderId="58" xfId="0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4" fillId="0" borderId="90" xfId="0" applyFont="1" applyBorder="1" applyAlignment="1">
      <alignment horizontal="left" vertical="center"/>
    </xf>
    <xf numFmtId="0" fontId="4" fillId="0" borderId="91" xfId="0" applyFont="1" applyBorder="1" applyAlignment="1">
      <alignment horizontal="left" vertical="center"/>
    </xf>
    <xf numFmtId="4" fontId="16" fillId="0" borderId="96" xfId="1" applyNumberFormat="1" applyFont="1" applyBorder="1" applyAlignment="1">
      <alignment horizontal="center" vertical="center" wrapText="1"/>
    </xf>
    <xf numFmtId="4" fontId="16" fillId="0" borderId="97" xfId="1" applyNumberFormat="1" applyFont="1" applyBorder="1" applyAlignment="1">
      <alignment horizontal="center" vertical="center" wrapText="1"/>
    </xf>
    <xf numFmtId="4" fontId="16" fillId="0" borderId="101" xfId="1" applyNumberFormat="1" applyFont="1" applyBorder="1" applyAlignment="1">
      <alignment horizontal="center" vertical="center" wrapText="1"/>
    </xf>
    <xf numFmtId="4" fontId="16" fillId="0" borderId="102" xfId="1" applyNumberFormat="1" applyFont="1" applyBorder="1" applyAlignment="1">
      <alignment horizontal="center" vertical="center" wrapText="1"/>
    </xf>
    <xf numFmtId="0" fontId="17" fillId="0" borderId="96" xfId="1" applyFont="1" applyBorder="1" applyAlignment="1">
      <alignment horizontal="left" vertical="top" wrapText="1"/>
    </xf>
    <xf numFmtId="0" fontId="17" fillId="0" borderId="98" xfId="1" applyFont="1" applyBorder="1" applyAlignment="1">
      <alignment horizontal="left" vertical="top"/>
    </xf>
    <xf numFmtId="0" fontId="17" fillId="0" borderId="101" xfId="1" applyFont="1" applyBorder="1" applyAlignment="1">
      <alignment horizontal="left" vertical="top"/>
    </xf>
    <xf numFmtId="0" fontId="17" fillId="0" borderId="103" xfId="1" applyFont="1" applyBorder="1" applyAlignment="1">
      <alignment horizontal="left" vertical="top"/>
    </xf>
    <xf numFmtId="0" fontId="21" fillId="8" borderId="110" xfId="1" applyFont="1" applyFill="1" applyBorder="1" applyAlignment="1">
      <alignment horizontal="center" vertical="center" wrapText="1"/>
    </xf>
    <xf numFmtId="0" fontId="21" fillId="8" borderId="111" xfId="1" applyFont="1" applyFill="1" applyBorder="1" applyAlignment="1">
      <alignment horizontal="center" vertical="center" wrapText="1"/>
    </xf>
    <xf numFmtId="0" fontId="31" fillId="0" borderId="86" xfId="4" applyFont="1" applyAlignment="1">
      <alignment horizontal="left" vertical="center" wrapText="1"/>
    </xf>
    <xf numFmtId="0" fontId="26" fillId="0" borderId="86" xfId="4" applyAlignment="1">
      <alignment vertical="center"/>
    </xf>
    <xf numFmtId="0" fontId="27" fillId="11" borderId="86" xfId="4" applyFont="1" applyFill="1" applyAlignment="1">
      <alignment horizontal="center" vertical="center"/>
    </xf>
    <xf numFmtId="0" fontId="26" fillId="0" borderId="86" xfId="4"/>
    <xf numFmtId="0" fontId="32" fillId="6" borderId="86" xfId="4" applyFont="1" applyFill="1" applyAlignment="1" applyProtection="1">
      <alignment horizontal="left" vertical="center"/>
      <protection locked="0"/>
    </xf>
    <xf numFmtId="0" fontId="32" fillId="0" borderId="86" xfId="4" applyFont="1" applyAlignment="1">
      <alignment horizontal="left" vertical="center"/>
    </xf>
    <xf numFmtId="0" fontId="32" fillId="0" borderId="86" xfId="4" applyFont="1" applyAlignment="1">
      <alignment horizontal="left" vertical="center" wrapText="1"/>
    </xf>
  </cellXfs>
  <cellStyles count="5">
    <cellStyle name="Měna 2" xfId="3" xr:uid="{AA20BABE-44FA-47CF-9720-98EF5A98D12B}"/>
    <cellStyle name="Normální" xfId="0" builtinId="0"/>
    <cellStyle name="Normální 2" xfId="2" xr:uid="{B275BC1B-461C-4E81-A074-9951191B4911}"/>
    <cellStyle name="Normální 3" xfId="4" xr:uid="{9969932F-6925-49C4-B586-E5CF9FB3A943}"/>
    <cellStyle name="normální_estimatif tdr - FRANCO-TCHEQUE-indice2_rv" xfId="1" xr:uid="{EEB0B60C-B52C-4CB4-912B-9B83E4D3B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BC9B93BE-8D7C-477C-8863-706F9FD3B43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opLeftCell="A13"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320" t="s">
        <v>0</v>
      </c>
      <c r="B1" s="321"/>
      <c r="C1" s="321"/>
      <c r="D1" s="321"/>
      <c r="E1" s="321"/>
      <c r="F1" s="321"/>
      <c r="G1" s="321"/>
      <c r="H1" s="321"/>
      <c r="I1" s="321"/>
    </row>
    <row r="2" spans="1:9" x14ac:dyDescent="0.25">
      <c r="A2" s="322" t="s">
        <v>1</v>
      </c>
      <c r="B2" s="323"/>
      <c r="C2" s="328" t="str">
        <f>'Stavební rozpočet'!C2</f>
        <v>Stavební úpravy objektu čp. 80 se změnou užívání</v>
      </c>
      <c r="D2" s="329"/>
      <c r="E2" s="319" t="s">
        <v>2</v>
      </c>
      <c r="F2" s="319" t="str">
        <f>'Stavební rozpočet'!I2</f>
        <v>Obec Cetoraz, Cetoraz 206, Cetoraz</v>
      </c>
      <c r="G2" s="323"/>
      <c r="H2" s="319" t="s">
        <v>3</v>
      </c>
      <c r="I2" s="325" t="s">
        <v>4</v>
      </c>
    </row>
    <row r="3" spans="1:9" ht="15" customHeight="1" x14ac:dyDescent="0.25">
      <c r="A3" s="324"/>
      <c r="B3" s="280"/>
      <c r="C3" s="330"/>
      <c r="D3" s="330"/>
      <c r="E3" s="280"/>
      <c r="F3" s="280"/>
      <c r="G3" s="280"/>
      <c r="H3" s="280"/>
      <c r="I3" s="326"/>
    </row>
    <row r="4" spans="1:9" x14ac:dyDescent="0.25">
      <c r="A4" s="317" t="s">
        <v>5</v>
      </c>
      <c r="B4" s="280"/>
      <c r="C4" s="279" t="str">
        <f>'Stavební rozpočet'!C4</f>
        <v xml:space="preserve"> </v>
      </c>
      <c r="D4" s="280"/>
      <c r="E4" s="279" t="s">
        <v>6</v>
      </c>
      <c r="F4" s="279" t="str">
        <f>'Stavební rozpočet'!I4</f>
        <v>Ing. František Kovář, Dlouhá Lhota 6, Chýnov</v>
      </c>
      <c r="G4" s="280"/>
      <c r="H4" s="279" t="s">
        <v>3</v>
      </c>
      <c r="I4" s="326" t="s">
        <v>7</v>
      </c>
    </row>
    <row r="5" spans="1:9" ht="15" customHeight="1" x14ac:dyDescent="0.25">
      <c r="A5" s="324"/>
      <c r="B5" s="280"/>
      <c r="C5" s="280"/>
      <c r="D5" s="280"/>
      <c r="E5" s="280"/>
      <c r="F5" s="280"/>
      <c r="G5" s="280"/>
      <c r="H5" s="280"/>
      <c r="I5" s="326"/>
    </row>
    <row r="6" spans="1:9" x14ac:dyDescent="0.25">
      <c r="A6" s="317" t="s">
        <v>8</v>
      </c>
      <c r="B6" s="280"/>
      <c r="C6" s="279" t="str">
        <f>'Stavební rozpočet'!C6</f>
        <v>Cetoraz st.p.č. 89</v>
      </c>
      <c r="D6" s="280"/>
      <c r="E6" s="279" t="s">
        <v>9</v>
      </c>
      <c r="F6" s="279" t="str">
        <f>'Stavební rozpočet'!I6</f>
        <v> </v>
      </c>
      <c r="G6" s="280"/>
      <c r="H6" s="279" t="s">
        <v>3</v>
      </c>
      <c r="I6" s="326" t="s">
        <v>4</v>
      </c>
    </row>
    <row r="7" spans="1:9" ht="15" customHeight="1" x14ac:dyDescent="0.25">
      <c r="A7" s="324"/>
      <c r="B7" s="280"/>
      <c r="C7" s="280"/>
      <c r="D7" s="280"/>
      <c r="E7" s="280"/>
      <c r="F7" s="280"/>
      <c r="G7" s="280"/>
      <c r="H7" s="280"/>
      <c r="I7" s="326"/>
    </row>
    <row r="8" spans="1:9" x14ac:dyDescent="0.25">
      <c r="A8" s="317" t="s">
        <v>10</v>
      </c>
      <c r="B8" s="280"/>
      <c r="C8" s="279" t="str">
        <f>'Stavební rozpočet'!G4</f>
        <v>02.12.2024</v>
      </c>
      <c r="D8" s="280"/>
      <c r="E8" s="279" t="s">
        <v>11</v>
      </c>
      <c r="F8" s="279" t="str">
        <f>'Stavební rozpočet'!G6</f>
        <v xml:space="preserve"> </v>
      </c>
      <c r="G8" s="280"/>
      <c r="H8" s="280" t="s">
        <v>12</v>
      </c>
      <c r="I8" s="327">
        <v>358</v>
      </c>
    </row>
    <row r="9" spans="1:9" x14ac:dyDescent="0.25">
      <c r="A9" s="324"/>
      <c r="B9" s="280"/>
      <c r="C9" s="280"/>
      <c r="D9" s="280"/>
      <c r="E9" s="280"/>
      <c r="F9" s="280"/>
      <c r="G9" s="280"/>
      <c r="H9" s="280"/>
      <c r="I9" s="326"/>
    </row>
    <row r="10" spans="1:9" x14ac:dyDescent="0.25">
      <c r="A10" s="317" t="s">
        <v>13</v>
      </c>
      <c r="B10" s="280"/>
      <c r="C10" s="279" t="str">
        <f>'Stavební rozpočet'!C8</f>
        <v xml:space="preserve"> </v>
      </c>
      <c r="D10" s="280"/>
      <c r="E10" s="279" t="s">
        <v>14</v>
      </c>
      <c r="F10" s="279" t="str">
        <f>'Stavební rozpočet'!I8</f>
        <v>Alen Kadlecová</v>
      </c>
      <c r="G10" s="280"/>
      <c r="H10" s="280" t="s">
        <v>15</v>
      </c>
      <c r="I10" s="311" t="str">
        <f>'Stavební rozpočet'!G8</f>
        <v>02.12.2024</v>
      </c>
    </row>
    <row r="11" spans="1:9" x14ac:dyDescent="0.25">
      <c r="A11" s="318"/>
      <c r="B11" s="316"/>
      <c r="C11" s="316"/>
      <c r="D11" s="316"/>
      <c r="E11" s="316"/>
      <c r="F11" s="316"/>
      <c r="G11" s="316"/>
      <c r="H11" s="316"/>
      <c r="I11" s="312"/>
    </row>
    <row r="12" spans="1:9" ht="23.25" x14ac:dyDescent="0.25">
      <c r="A12" s="313" t="s">
        <v>16</v>
      </c>
      <c r="B12" s="313"/>
      <c r="C12" s="313"/>
      <c r="D12" s="313"/>
      <c r="E12" s="313"/>
      <c r="F12" s="313"/>
      <c r="G12" s="313"/>
      <c r="H12" s="313"/>
      <c r="I12" s="313"/>
    </row>
    <row r="13" spans="1:9" ht="26.25" customHeight="1" x14ac:dyDescent="0.25">
      <c r="A13" s="6" t="s">
        <v>17</v>
      </c>
      <c r="B13" s="314" t="s">
        <v>18</v>
      </c>
      <c r="C13" s="315"/>
      <c r="D13" s="7" t="s">
        <v>19</v>
      </c>
      <c r="E13" s="314" t="s">
        <v>20</v>
      </c>
      <c r="F13" s="315"/>
      <c r="G13" s="7" t="s">
        <v>21</v>
      </c>
      <c r="H13" s="314" t="s">
        <v>22</v>
      </c>
      <c r="I13" s="315"/>
    </row>
    <row r="14" spans="1:9" ht="15.75" x14ac:dyDescent="0.25">
      <c r="A14" s="8" t="s">
        <v>23</v>
      </c>
      <c r="B14" s="9" t="s">
        <v>24</v>
      </c>
      <c r="C14" s="10">
        <f>SUM('Stavební rozpočet'!AB12:AB421)</f>
        <v>0</v>
      </c>
      <c r="D14" s="301" t="s">
        <v>25</v>
      </c>
      <c r="E14" s="302"/>
      <c r="F14" s="10">
        <f>VORN!I15</f>
        <v>0</v>
      </c>
      <c r="G14" s="301" t="s">
        <v>26</v>
      </c>
      <c r="H14" s="302"/>
      <c r="I14" s="11">
        <f>VORN!I21</f>
        <v>0</v>
      </c>
    </row>
    <row r="15" spans="1:9" ht="15.75" x14ac:dyDescent="0.25">
      <c r="A15" s="12" t="s">
        <v>4</v>
      </c>
      <c r="B15" s="9" t="s">
        <v>27</v>
      </c>
      <c r="C15" s="10">
        <f>SUM('Stavební rozpočet'!AC12:AC421)</f>
        <v>0</v>
      </c>
      <c r="D15" s="301" t="s">
        <v>28</v>
      </c>
      <c r="E15" s="302"/>
      <c r="F15" s="10">
        <f>VORN!I16</f>
        <v>0</v>
      </c>
      <c r="G15" s="301" t="s">
        <v>29</v>
      </c>
      <c r="H15" s="302"/>
      <c r="I15" s="11">
        <f>VORN!I22</f>
        <v>0</v>
      </c>
    </row>
    <row r="16" spans="1:9" ht="15.75" x14ac:dyDescent="0.25">
      <c r="A16" s="8" t="s">
        <v>30</v>
      </c>
      <c r="B16" s="9" t="s">
        <v>24</v>
      </c>
      <c r="C16" s="10">
        <f>SUM('Stavební rozpočet'!AD12:AD421)</f>
        <v>0</v>
      </c>
      <c r="D16" s="301" t="s">
        <v>31</v>
      </c>
      <c r="E16" s="302"/>
      <c r="F16" s="10">
        <f>VORN!I17</f>
        <v>0</v>
      </c>
      <c r="G16" s="301" t="s">
        <v>32</v>
      </c>
      <c r="H16" s="302"/>
      <c r="I16" s="11">
        <f>VORN!I23</f>
        <v>0</v>
      </c>
    </row>
    <row r="17" spans="1:9" ht="15.75" x14ac:dyDescent="0.25">
      <c r="A17" s="12" t="s">
        <v>4</v>
      </c>
      <c r="B17" s="9" t="s">
        <v>27</v>
      </c>
      <c r="C17" s="10">
        <f>SUM('Stavební rozpočet'!AE12:AE421)</f>
        <v>0</v>
      </c>
      <c r="D17" s="301" t="s">
        <v>4</v>
      </c>
      <c r="E17" s="302"/>
      <c r="F17" s="11" t="s">
        <v>4</v>
      </c>
      <c r="G17" s="301" t="s">
        <v>33</v>
      </c>
      <c r="H17" s="302"/>
      <c r="I17" s="11">
        <f>VORN!I24</f>
        <v>0</v>
      </c>
    </row>
    <row r="18" spans="1:9" ht="15.75" x14ac:dyDescent="0.25">
      <c r="A18" s="8" t="s">
        <v>34</v>
      </c>
      <c r="B18" s="9" t="s">
        <v>24</v>
      </c>
      <c r="C18" s="10">
        <f>SUM('Stavební rozpočet'!AF12:AF421)</f>
        <v>0</v>
      </c>
      <c r="D18" s="301" t="s">
        <v>4</v>
      </c>
      <c r="E18" s="302"/>
      <c r="F18" s="11" t="s">
        <v>4</v>
      </c>
      <c r="G18" s="301" t="s">
        <v>35</v>
      </c>
      <c r="H18" s="302"/>
      <c r="I18" s="11">
        <f>VORN!I25</f>
        <v>0</v>
      </c>
    </row>
    <row r="19" spans="1:9" ht="15.75" x14ac:dyDescent="0.25">
      <c r="A19" s="12" t="s">
        <v>4</v>
      </c>
      <c r="B19" s="9" t="s">
        <v>27</v>
      </c>
      <c r="C19" s="10">
        <f>SUM('Stavební rozpočet'!AG12:AG421)</f>
        <v>0</v>
      </c>
      <c r="D19" s="301" t="s">
        <v>4</v>
      </c>
      <c r="E19" s="302"/>
      <c r="F19" s="11" t="s">
        <v>4</v>
      </c>
      <c r="G19" s="301" t="s">
        <v>36</v>
      </c>
      <c r="H19" s="302"/>
      <c r="I19" s="11">
        <f>VORN!I26</f>
        <v>0</v>
      </c>
    </row>
    <row r="20" spans="1:9" ht="15.75" x14ac:dyDescent="0.25">
      <c r="A20" s="293" t="s">
        <v>37</v>
      </c>
      <c r="B20" s="294"/>
      <c r="C20" s="10">
        <f>SUM('Stavební rozpočet'!AH12:AH421)</f>
        <v>0</v>
      </c>
      <c r="D20" s="301" t="s">
        <v>4</v>
      </c>
      <c r="E20" s="302"/>
      <c r="F20" s="11" t="s">
        <v>4</v>
      </c>
      <c r="G20" s="301" t="s">
        <v>4</v>
      </c>
      <c r="H20" s="302"/>
      <c r="I20" s="11" t="s">
        <v>4</v>
      </c>
    </row>
    <row r="21" spans="1:9" ht="15.75" x14ac:dyDescent="0.25">
      <c r="A21" s="308" t="s">
        <v>38</v>
      </c>
      <c r="B21" s="309"/>
      <c r="C21" s="13">
        <f>SUM('Stavební rozpočet'!Z12:Z421)</f>
        <v>0</v>
      </c>
      <c r="D21" s="303" t="s">
        <v>4</v>
      </c>
      <c r="E21" s="304"/>
      <c r="F21" s="14" t="s">
        <v>4</v>
      </c>
      <c r="G21" s="303" t="s">
        <v>4</v>
      </c>
      <c r="H21" s="304"/>
      <c r="I21" s="14" t="s">
        <v>4</v>
      </c>
    </row>
    <row r="22" spans="1:9" ht="16.5" customHeight="1" x14ac:dyDescent="0.25">
      <c r="A22" s="310" t="s">
        <v>39</v>
      </c>
      <c r="B22" s="306"/>
      <c r="C22" s="15">
        <f>SUM(C14:C21)</f>
        <v>0</v>
      </c>
      <c r="D22" s="305" t="s">
        <v>40</v>
      </c>
      <c r="E22" s="306"/>
      <c r="F22" s="15">
        <f>SUM(F14:F21)</f>
        <v>0</v>
      </c>
      <c r="G22" s="305" t="s">
        <v>41</v>
      </c>
      <c r="H22" s="306"/>
      <c r="I22" s="15">
        <f>SUM(I14:I21)</f>
        <v>0</v>
      </c>
    </row>
    <row r="23" spans="1:9" ht="15.75" x14ac:dyDescent="0.25">
      <c r="D23" s="293" t="s">
        <v>42</v>
      </c>
      <c r="E23" s="294"/>
      <c r="F23" s="16">
        <v>0</v>
      </c>
      <c r="G23" s="307" t="s">
        <v>43</v>
      </c>
      <c r="H23" s="294"/>
      <c r="I23" s="10">
        <v>0</v>
      </c>
    </row>
    <row r="24" spans="1:9" ht="15.75" x14ac:dyDescent="0.25">
      <c r="G24" s="293" t="s">
        <v>44</v>
      </c>
      <c r="H24" s="294"/>
      <c r="I24" s="13">
        <f>vorn_sum</f>
        <v>0</v>
      </c>
    </row>
    <row r="25" spans="1:9" ht="15.75" x14ac:dyDescent="0.25">
      <c r="G25" s="293" t="s">
        <v>45</v>
      </c>
      <c r="H25" s="294"/>
      <c r="I25" s="15">
        <v>0</v>
      </c>
    </row>
    <row r="27" spans="1:9" ht="15.75" x14ac:dyDescent="0.25">
      <c r="A27" s="295" t="s">
        <v>46</v>
      </c>
      <c r="B27" s="296"/>
      <c r="C27" s="17">
        <f>SUM('Stavební rozpočet'!AJ12:AJ421)</f>
        <v>0</v>
      </c>
    </row>
    <row r="28" spans="1:9" ht="15.75" x14ac:dyDescent="0.25">
      <c r="A28" s="297" t="s">
        <v>47</v>
      </c>
      <c r="B28" s="298"/>
      <c r="C28" s="18">
        <f>SUM('Stavební rozpočet'!AK12:AK421)</f>
        <v>0</v>
      </c>
      <c r="D28" s="299" t="s">
        <v>48</v>
      </c>
      <c r="E28" s="296"/>
      <c r="F28" s="17">
        <f>ROUND(C28*(12/100),2)</f>
        <v>0</v>
      </c>
      <c r="G28" s="299" t="s">
        <v>49</v>
      </c>
      <c r="H28" s="296"/>
      <c r="I28" s="17">
        <f>SUM(C27:C29)</f>
        <v>0</v>
      </c>
    </row>
    <row r="29" spans="1:9" ht="15.75" x14ac:dyDescent="0.25">
      <c r="A29" s="297" t="s">
        <v>50</v>
      </c>
      <c r="B29" s="298"/>
      <c r="C29" s="18">
        <f>SUM('Stavební rozpočet'!AL12:AL421)</f>
        <v>0</v>
      </c>
      <c r="D29" s="300" t="s">
        <v>51</v>
      </c>
      <c r="E29" s="298"/>
      <c r="F29" s="18">
        <f>ROUND(C29*(21/100),2)</f>
        <v>0</v>
      </c>
      <c r="G29" s="300" t="s">
        <v>52</v>
      </c>
      <c r="H29" s="298"/>
      <c r="I29" s="18">
        <f>SUM(F28:F29)+I28</f>
        <v>0</v>
      </c>
    </row>
    <row r="31" spans="1:9" x14ac:dyDescent="0.25">
      <c r="A31" s="290" t="s">
        <v>53</v>
      </c>
      <c r="B31" s="282"/>
      <c r="C31" s="283"/>
      <c r="D31" s="281" t="s">
        <v>54</v>
      </c>
      <c r="E31" s="282"/>
      <c r="F31" s="283"/>
      <c r="G31" s="281" t="s">
        <v>55</v>
      </c>
      <c r="H31" s="282"/>
      <c r="I31" s="283"/>
    </row>
    <row r="32" spans="1:9" x14ac:dyDescent="0.25">
      <c r="A32" s="291" t="s">
        <v>4</v>
      </c>
      <c r="B32" s="285"/>
      <c r="C32" s="286"/>
      <c r="D32" s="284" t="s">
        <v>4</v>
      </c>
      <c r="E32" s="285"/>
      <c r="F32" s="286"/>
      <c r="G32" s="284" t="s">
        <v>4</v>
      </c>
      <c r="H32" s="285"/>
      <c r="I32" s="286"/>
    </row>
    <row r="33" spans="1:9" x14ac:dyDescent="0.25">
      <c r="A33" s="291" t="s">
        <v>4</v>
      </c>
      <c r="B33" s="285"/>
      <c r="C33" s="286"/>
      <c r="D33" s="284" t="s">
        <v>4</v>
      </c>
      <c r="E33" s="285"/>
      <c r="F33" s="286"/>
      <c r="G33" s="284" t="s">
        <v>4</v>
      </c>
      <c r="H33" s="285"/>
      <c r="I33" s="286"/>
    </row>
    <row r="34" spans="1:9" x14ac:dyDescent="0.25">
      <c r="A34" s="291" t="s">
        <v>4</v>
      </c>
      <c r="B34" s="285"/>
      <c r="C34" s="286"/>
      <c r="D34" s="284" t="s">
        <v>4</v>
      </c>
      <c r="E34" s="285"/>
      <c r="F34" s="286"/>
      <c r="G34" s="284" t="s">
        <v>4</v>
      </c>
      <c r="H34" s="285"/>
      <c r="I34" s="286"/>
    </row>
    <row r="35" spans="1:9" x14ac:dyDescent="0.25">
      <c r="A35" s="292" t="s">
        <v>56</v>
      </c>
      <c r="B35" s="288"/>
      <c r="C35" s="289"/>
      <c r="D35" s="287" t="s">
        <v>56</v>
      </c>
      <c r="E35" s="288"/>
      <c r="F35" s="289"/>
      <c r="G35" s="287" t="s">
        <v>56</v>
      </c>
      <c r="H35" s="288"/>
      <c r="I35" s="289"/>
    </row>
    <row r="36" spans="1:9" x14ac:dyDescent="0.25">
      <c r="A36" s="19" t="s">
        <v>57</v>
      </c>
    </row>
    <row r="37" spans="1:9" ht="81" customHeight="1" x14ac:dyDescent="0.25">
      <c r="A37" s="279" t="s">
        <v>58</v>
      </c>
      <c r="B37" s="280"/>
      <c r="C37" s="280"/>
      <c r="D37" s="280"/>
      <c r="E37" s="280"/>
      <c r="F37" s="280"/>
      <c r="G37" s="280"/>
      <c r="H37" s="280"/>
      <c r="I37" s="280"/>
    </row>
  </sheetData>
  <sheetProtection password="CC89" sheet="1"/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320" t="s">
        <v>59</v>
      </c>
      <c r="B1" s="321"/>
      <c r="C1" s="321"/>
      <c r="D1" s="321"/>
      <c r="E1" s="321"/>
      <c r="F1" s="321"/>
      <c r="G1" s="321"/>
      <c r="H1" s="321"/>
      <c r="I1" s="321"/>
    </row>
    <row r="2" spans="1:9" x14ac:dyDescent="0.25">
      <c r="A2" s="322" t="s">
        <v>1</v>
      </c>
      <c r="B2" s="323"/>
      <c r="C2" s="328" t="str">
        <f>'Stavební rozpočet'!C2</f>
        <v>Stavební úpravy objektu čp. 80 se změnou užívání</v>
      </c>
      <c r="D2" s="329"/>
      <c r="E2" s="319" t="s">
        <v>2</v>
      </c>
      <c r="F2" s="319" t="str">
        <f>'Stavební rozpočet'!I2</f>
        <v>Obec Cetoraz, Cetoraz 206, Cetoraz</v>
      </c>
      <c r="G2" s="323"/>
      <c r="H2" s="319" t="s">
        <v>3</v>
      </c>
      <c r="I2" s="325" t="s">
        <v>4</v>
      </c>
    </row>
    <row r="3" spans="1:9" ht="15" customHeight="1" x14ac:dyDescent="0.25">
      <c r="A3" s="324"/>
      <c r="B3" s="280"/>
      <c r="C3" s="330"/>
      <c r="D3" s="330"/>
      <c r="E3" s="280"/>
      <c r="F3" s="280"/>
      <c r="G3" s="280"/>
      <c r="H3" s="280"/>
      <c r="I3" s="326"/>
    </row>
    <row r="4" spans="1:9" x14ac:dyDescent="0.25">
      <c r="A4" s="317" t="s">
        <v>5</v>
      </c>
      <c r="B4" s="280"/>
      <c r="C4" s="279" t="str">
        <f>'Stavební rozpočet'!C4</f>
        <v xml:space="preserve"> </v>
      </c>
      <c r="D4" s="280"/>
      <c r="E4" s="279" t="s">
        <v>6</v>
      </c>
      <c r="F4" s="279" t="str">
        <f>'Stavební rozpočet'!I4</f>
        <v>Ing. František Kovář, Dlouhá Lhota 6, Chýnov</v>
      </c>
      <c r="G4" s="280"/>
      <c r="H4" s="279" t="s">
        <v>3</v>
      </c>
      <c r="I4" s="326" t="s">
        <v>7</v>
      </c>
    </row>
    <row r="5" spans="1:9" ht="15" customHeight="1" x14ac:dyDescent="0.25">
      <c r="A5" s="324"/>
      <c r="B5" s="280"/>
      <c r="C5" s="280"/>
      <c r="D5" s="280"/>
      <c r="E5" s="280"/>
      <c r="F5" s="280"/>
      <c r="G5" s="280"/>
      <c r="H5" s="280"/>
      <c r="I5" s="326"/>
    </row>
    <row r="6" spans="1:9" x14ac:dyDescent="0.25">
      <c r="A6" s="317" t="s">
        <v>8</v>
      </c>
      <c r="B6" s="280"/>
      <c r="C6" s="279" t="str">
        <f>'Stavební rozpočet'!C6</f>
        <v>Cetoraz st.p.č. 89</v>
      </c>
      <c r="D6" s="280"/>
      <c r="E6" s="279" t="s">
        <v>9</v>
      </c>
      <c r="F6" s="279" t="str">
        <f>'Stavební rozpočet'!I6</f>
        <v> </v>
      </c>
      <c r="G6" s="280"/>
      <c r="H6" s="279" t="s">
        <v>3</v>
      </c>
      <c r="I6" s="326" t="s">
        <v>4</v>
      </c>
    </row>
    <row r="7" spans="1:9" ht="15" customHeight="1" x14ac:dyDescent="0.25">
      <c r="A7" s="324"/>
      <c r="B7" s="280"/>
      <c r="C7" s="280"/>
      <c r="D7" s="280"/>
      <c r="E7" s="280"/>
      <c r="F7" s="280"/>
      <c r="G7" s="280"/>
      <c r="H7" s="280"/>
      <c r="I7" s="326"/>
    </row>
    <row r="8" spans="1:9" x14ac:dyDescent="0.25">
      <c r="A8" s="317" t="s">
        <v>10</v>
      </c>
      <c r="B8" s="280"/>
      <c r="C8" s="279" t="str">
        <f>'Stavební rozpočet'!G4</f>
        <v>02.12.2024</v>
      </c>
      <c r="D8" s="280"/>
      <c r="E8" s="279" t="s">
        <v>11</v>
      </c>
      <c r="F8" s="279" t="str">
        <f>'Stavební rozpočet'!G6</f>
        <v xml:space="preserve"> </v>
      </c>
      <c r="G8" s="280"/>
      <c r="H8" s="280" t="s">
        <v>12</v>
      </c>
      <c r="I8" s="327">
        <v>358</v>
      </c>
    </row>
    <row r="9" spans="1:9" x14ac:dyDescent="0.25">
      <c r="A9" s="324"/>
      <c r="B9" s="280"/>
      <c r="C9" s="280"/>
      <c r="D9" s="280"/>
      <c r="E9" s="280"/>
      <c r="F9" s="280"/>
      <c r="G9" s="280"/>
      <c r="H9" s="280"/>
      <c r="I9" s="326"/>
    </row>
    <row r="10" spans="1:9" x14ac:dyDescent="0.25">
      <c r="A10" s="317" t="s">
        <v>13</v>
      </c>
      <c r="B10" s="280"/>
      <c r="C10" s="279" t="str">
        <f>'Stavební rozpočet'!C8</f>
        <v xml:space="preserve"> </v>
      </c>
      <c r="D10" s="280"/>
      <c r="E10" s="279" t="s">
        <v>14</v>
      </c>
      <c r="F10" s="279" t="str">
        <f>'Stavební rozpočet'!I8</f>
        <v>Alen Kadlecová</v>
      </c>
      <c r="G10" s="280"/>
      <c r="H10" s="280" t="s">
        <v>15</v>
      </c>
      <c r="I10" s="311" t="str">
        <f>'Stavební rozpočet'!G8</f>
        <v>02.12.2024</v>
      </c>
    </row>
    <row r="11" spans="1:9" x14ac:dyDescent="0.25">
      <c r="A11" s="318"/>
      <c r="B11" s="316"/>
      <c r="C11" s="316"/>
      <c r="D11" s="316"/>
      <c r="E11" s="316"/>
      <c r="F11" s="316"/>
      <c r="G11" s="316"/>
      <c r="H11" s="316"/>
      <c r="I11" s="312"/>
    </row>
    <row r="13" spans="1:9" ht="15.75" x14ac:dyDescent="0.25">
      <c r="A13" s="346" t="s">
        <v>60</v>
      </c>
      <c r="B13" s="346"/>
      <c r="C13" s="346"/>
      <c r="D13" s="346"/>
      <c r="E13" s="346"/>
    </row>
    <row r="14" spans="1:9" x14ac:dyDescent="0.25">
      <c r="A14" s="347" t="s">
        <v>61</v>
      </c>
      <c r="B14" s="348"/>
      <c r="C14" s="348"/>
      <c r="D14" s="348"/>
      <c r="E14" s="349"/>
      <c r="F14" s="20" t="s">
        <v>62</v>
      </c>
      <c r="G14" s="20" t="s">
        <v>63</v>
      </c>
      <c r="H14" s="20" t="s">
        <v>64</v>
      </c>
      <c r="I14" s="20" t="s">
        <v>62</v>
      </c>
    </row>
    <row r="15" spans="1:9" x14ac:dyDescent="0.25">
      <c r="A15" s="331" t="s">
        <v>25</v>
      </c>
      <c r="B15" s="332"/>
      <c r="C15" s="332"/>
      <c r="D15" s="332"/>
      <c r="E15" s="333"/>
      <c r="F15" s="21">
        <v>0</v>
      </c>
      <c r="G15" s="22" t="s">
        <v>4</v>
      </c>
      <c r="H15" s="22" t="s">
        <v>4</v>
      </c>
      <c r="I15" s="21">
        <f>F15</f>
        <v>0</v>
      </c>
    </row>
    <row r="16" spans="1:9" x14ac:dyDescent="0.25">
      <c r="A16" s="331" t="s">
        <v>28</v>
      </c>
      <c r="B16" s="332"/>
      <c r="C16" s="332"/>
      <c r="D16" s="332"/>
      <c r="E16" s="333"/>
      <c r="F16" s="21">
        <v>0</v>
      </c>
      <c r="G16" s="22" t="s">
        <v>4</v>
      </c>
      <c r="H16" s="22" t="s">
        <v>4</v>
      </c>
      <c r="I16" s="21">
        <f>F16</f>
        <v>0</v>
      </c>
    </row>
    <row r="17" spans="1:9" x14ac:dyDescent="0.25">
      <c r="A17" s="334" t="s">
        <v>31</v>
      </c>
      <c r="B17" s="335"/>
      <c r="C17" s="335"/>
      <c r="D17" s="335"/>
      <c r="E17" s="336"/>
      <c r="F17" s="23">
        <v>0</v>
      </c>
      <c r="G17" s="24" t="s">
        <v>4</v>
      </c>
      <c r="H17" s="24" t="s">
        <v>4</v>
      </c>
      <c r="I17" s="23">
        <f>F17</f>
        <v>0</v>
      </c>
    </row>
    <row r="18" spans="1:9" x14ac:dyDescent="0.25">
      <c r="A18" s="337" t="s">
        <v>65</v>
      </c>
      <c r="B18" s="338"/>
      <c r="C18" s="338"/>
      <c r="D18" s="338"/>
      <c r="E18" s="339"/>
      <c r="F18" s="25" t="s">
        <v>4</v>
      </c>
      <c r="G18" s="26" t="s">
        <v>4</v>
      </c>
      <c r="H18" s="26" t="s">
        <v>4</v>
      </c>
      <c r="I18" s="27">
        <f>SUM(I15:I17)</f>
        <v>0</v>
      </c>
    </row>
    <row r="20" spans="1:9" x14ac:dyDescent="0.25">
      <c r="A20" s="347" t="s">
        <v>22</v>
      </c>
      <c r="B20" s="348"/>
      <c r="C20" s="348"/>
      <c r="D20" s="348"/>
      <c r="E20" s="349"/>
      <c r="F20" s="20" t="s">
        <v>62</v>
      </c>
      <c r="G20" s="20" t="s">
        <v>63</v>
      </c>
      <c r="H20" s="20" t="s">
        <v>64</v>
      </c>
      <c r="I20" s="20" t="s">
        <v>62</v>
      </c>
    </row>
    <row r="21" spans="1:9" x14ac:dyDescent="0.25">
      <c r="A21" s="331" t="s">
        <v>26</v>
      </c>
      <c r="B21" s="332"/>
      <c r="C21" s="332"/>
      <c r="D21" s="332"/>
      <c r="E21" s="333"/>
      <c r="F21" s="21">
        <v>0</v>
      </c>
      <c r="G21" s="22" t="s">
        <v>4</v>
      </c>
      <c r="H21" s="22" t="s">
        <v>4</v>
      </c>
      <c r="I21" s="21">
        <f t="shared" ref="I21:I26" si="0">F21</f>
        <v>0</v>
      </c>
    </row>
    <row r="22" spans="1:9" x14ac:dyDescent="0.25">
      <c r="A22" s="331" t="s">
        <v>29</v>
      </c>
      <c r="B22" s="332"/>
      <c r="C22" s="332"/>
      <c r="D22" s="332"/>
      <c r="E22" s="333"/>
      <c r="F22" s="21">
        <v>0</v>
      </c>
      <c r="G22" s="22" t="s">
        <v>4</v>
      </c>
      <c r="H22" s="22" t="s">
        <v>4</v>
      </c>
      <c r="I22" s="21">
        <f t="shared" si="0"/>
        <v>0</v>
      </c>
    </row>
    <row r="23" spans="1:9" x14ac:dyDescent="0.25">
      <c r="A23" s="331" t="s">
        <v>32</v>
      </c>
      <c r="B23" s="332"/>
      <c r="C23" s="332"/>
      <c r="D23" s="332"/>
      <c r="E23" s="333"/>
      <c r="F23" s="21">
        <v>0</v>
      </c>
      <c r="G23" s="22" t="s">
        <v>4</v>
      </c>
      <c r="H23" s="22" t="s">
        <v>4</v>
      </c>
      <c r="I23" s="21">
        <f t="shared" si="0"/>
        <v>0</v>
      </c>
    </row>
    <row r="24" spans="1:9" x14ac:dyDescent="0.25">
      <c r="A24" s="331" t="s">
        <v>33</v>
      </c>
      <c r="B24" s="332"/>
      <c r="C24" s="332"/>
      <c r="D24" s="332"/>
      <c r="E24" s="333"/>
      <c r="F24" s="21">
        <v>0</v>
      </c>
      <c r="G24" s="22" t="s">
        <v>4</v>
      </c>
      <c r="H24" s="22" t="s">
        <v>4</v>
      </c>
      <c r="I24" s="21">
        <f t="shared" si="0"/>
        <v>0</v>
      </c>
    </row>
    <row r="25" spans="1:9" x14ac:dyDescent="0.25">
      <c r="A25" s="331" t="s">
        <v>35</v>
      </c>
      <c r="B25" s="332"/>
      <c r="C25" s="332"/>
      <c r="D25" s="332"/>
      <c r="E25" s="333"/>
      <c r="F25" s="21">
        <v>0</v>
      </c>
      <c r="G25" s="22" t="s">
        <v>4</v>
      </c>
      <c r="H25" s="22" t="s">
        <v>4</v>
      </c>
      <c r="I25" s="21">
        <f t="shared" si="0"/>
        <v>0</v>
      </c>
    </row>
    <row r="26" spans="1:9" x14ac:dyDescent="0.25">
      <c r="A26" s="334" t="s">
        <v>36</v>
      </c>
      <c r="B26" s="335"/>
      <c r="C26" s="335"/>
      <c r="D26" s="335"/>
      <c r="E26" s="336"/>
      <c r="F26" s="23">
        <v>0</v>
      </c>
      <c r="G26" s="24" t="s">
        <v>4</v>
      </c>
      <c r="H26" s="24" t="s">
        <v>4</v>
      </c>
      <c r="I26" s="23">
        <f t="shared" si="0"/>
        <v>0</v>
      </c>
    </row>
    <row r="27" spans="1:9" x14ac:dyDescent="0.25">
      <c r="A27" s="337" t="s">
        <v>66</v>
      </c>
      <c r="B27" s="338"/>
      <c r="C27" s="338"/>
      <c r="D27" s="338"/>
      <c r="E27" s="339"/>
      <c r="F27" s="25" t="s">
        <v>4</v>
      </c>
      <c r="G27" s="26" t="s">
        <v>4</v>
      </c>
      <c r="H27" s="26" t="s">
        <v>4</v>
      </c>
      <c r="I27" s="27">
        <f>SUM(I21:I26)</f>
        <v>0</v>
      </c>
    </row>
    <row r="29" spans="1:9" ht="15.75" x14ac:dyDescent="0.25">
      <c r="A29" s="340" t="s">
        <v>67</v>
      </c>
      <c r="B29" s="341"/>
      <c r="C29" s="341"/>
      <c r="D29" s="341"/>
      <c r="E29" s="342"/>
      <c r="F29" s="343">
        <f>I18+I27</f>
        <v>0</v>
      </c>
      <c r="G29" s="344"/>
      <c r="H29" s="344"/>
      <c r="I29" s="345"/>
    </row>
    <row r="33" spans="1:9" ht="15.75" x14ac:dyDescent="0.25">
      <c r="A33" s="346" t="s">
        <v>68</v>
      </c>
      <c r="B33" s="346"/>
      <c r="C33" s="346"/>
      <c r="D33" s="346"/>
      <c r="E33" s="346"/>
    </row>
    <row r="34" spans="1:9" x14ac:dyDescent="0.25">
      <c r="A34" s="347" t="s">
        <v>69</v>
      </c>
      <c r="B34" s="348"/>
      <c r="C34" s="348"/>
      <c r="D34" s="348"/>
      <c r="E34" s="349"/>
      <c r="F34" s="20" t="s">
        <v>62</v>
      </c>
      <c r="G34" s="20" t="s">
        <v>63</v>
      </c>
      <c r="H34" s="20" t="s">
        <v>64</v>
      </c>
      <c r="I34" s="20" t="s">
        <v>62</v>
      </c>
    </row>
    <row r="35" spans="1:9" x14ac:dyDescent="0.25">
      <c r="A35" s="331" t="s">
        <v>70</v>
      </c>
      <c r="B35" s="332"/>
      <c r="C35" s="332"/>
      <c r="D35" s="332"/>
      <c r="E35" s="333"/>
      <c r="F35" s="21">
        <f>SUM('Stavební rozpočet'!BM12:BM421)</f>
        <v>0</v>
      </c>
      <c r="G35" s="22" t="s">
        <v>4</v>
      </c>
      <c r="H35" s="22" t="s">
        <v>4</v>
      </c>
      <c r="I35" s="21">
        <f t="shared" ref="I35:I44" si="1">F35</f>
        <v>0</v>
      </c>
    </row>
    <row r="36" spans="1:9" x14ac:dyDescent="0.25">
      <c r="A36" s="331" t="s">
        <v>71</v>
      </c>
      <c r="B36" s="332"/>
      <c r="C36" s="332"/>
      <c r="D36" s="332"/>
      <c r="E36" s="333"/>
      <c r="F36" s="21">
        <f>SUM('Stavební rozpočet'!BN12:BN421)</f>
        <v>0</v>
      </c>
      <c r="G36" s="22" t="s">
        <v>4</v>
      </c>
      <c r="H36" s="22" t="s">
        <v>4</v>
      </c>
      <c r="I36" s="21">
        <f t="shared" si="1"/>
        <v>0</v>
      </c>
    </row>
    <row r="37" spans="1:9" x14ac:dyDescent="0.25">
      <c r="A37" s="331" t="s">
        <v>26</v>
      </c>
      <c r="B37" s="332"/>
      <c r="C37" s="332"/>
      <c r="D37" s="332"/>
      <c r="E37" s="333"/>
      <c r="F37" s="21">
        <f>SUM('Stavební rozpočet'!BO12:BO421)</f>
        <v>0</v>
      </c>
      <c r="G37" s="22" t="s">
        <v>4</v>
      </c>
      <c r="H37" s="22" t="s">
        <v>4</v>
      </c>
      <c r="I37" s="21">
        <f t="shared" si="1"/>
        <v>0</v>
      </c>
    </row>
    <row r="38" spans="1:9" x14ac:dyDescent="0.25">
      <c r="A38" s="331" t="s">
        <v>72</v>
      </c>
      <c r="B38" s="332"/>
      <c r="C38" s="332"/>
      <c r="D38" s="332"/>
      <c r="E38" s="333"/>
      <c r="F38" s="21">
        <f>SUM('Stavební rozpočet'!BP12:BP421)</f>
        <v>0</v>
      </c>
      <c r="G38" s="22" t="s">
        <v>4</v>
      </c>
      <c r="H38" s="22" t="s">
        <v>4</v>
      </c>
      <c r="I38" s="21">
        <f t="shared" si="1"/>
        <v>0</v>
      </c>
    </row>
    <row r="39" spans="1:9" x14ac:dyDescent="0.25">
      <c r="A39" s="331" t="s">
        <v>73</v>
      </c>
      <c r="B39" s="332"/>
      <c r="C39" s="332"/>
      <c r="D39" s="332"/>
      <c r="E39" s="333"/>
      <c r="F39" s="21">
        <f>SUM('Stavební rozpočet'!BQ12:BQ421)</f>
        <v>0</v>
      </c>
      <c r="G39" s="22" t="s">
        <v>4</v>
      </c>
      <c r="H39" s="22" t="s">
        <v>4</v>
      </c>
      <c r="I39" s="21">
        <f t="shared" si="1"/>
        <v>0</v>
      </c>
    </row>
    <row r="40" spans="1:9" x14ac:dyDescent="0.25">
      <c r="A40" s="331" t="s">
        <v>32</v>
      </c>
      <c r="B40" s="332"/>
      <c r="C40" s="332"/>
      <c r="D40" s="332"/>
      <c r="E40" s="333"/>
      <c r="F40" s="21">
        <f>SUM('Stavební rozpočet'!BR12:BR421)</f>
        <v>0</v>
      </c>
      <c r="G40" s="22" t="s">
        <v>4</v>
      </c>
      <c r="H40" s="22" t="s">
        <v>4</v>
      </c>
      <c r="I40" s="21">
        <f t="shared" si="1"/>
        <v>0</v>
      </c>
    </row>
    <row r="41" spans="1:9" x14ac:dyDescent="0.25">
      <c r="A41" s="331" t="s">
        <v>33</v>
      </c>
      <c r="B41" s="332"/>
      <c r="C41" s="332"/>
      <c r="D41" s="332"/>
      <c r="E41" s="333"/>
      <c r="F41" s="21">
        <f>SUM('Stavební rozpočet'!BS12:BS421)</f>
        <v>0</v>
      </c>
      <c r="G41" s="22" t="s">
        <v>4</v>
      </c>
      <c r="H41" s="22" t="s">
        <v>4</v>
      </c>
      <c r="I41" s="21">
        <f t="shared" si="1"/>
        <v>0</v>
      </c>
    </row>
    <row r="42" spans="1:9" x14ac:dyDescent="0.25">
      <c r="A42" s="331" t="s">
        <v>74</v>
      </c>
      <c r="B42" s="332"/>
      <c r="C42" s="332"/>
      <c r="D42" s="332"/>
      <c r="E42" s="333"/>
      <c r="F42" s="21">
        <f>SUM('Stavební rozpočet'!BT12:BT421)</f>
        <v>0</v>
      </c>
      <c r="G42" s="22" t="s">
        <v>4</v>
      </c>
      <c r="H42" s="22" t="s">
        <v>4</v>
      </c>
      <c r="I42" s="21">
        <f t="shared" si="1"/>
        <v>0</v>
      </c>
    </row>
    <row r="43" spans="1:9" x14ac:dyDescent="0.25">
      <c r="A43" s="331" t="s">
        <v>75</v>
      </c>
      <c r="B43" s="332"/>
      <c r="C43" s="332"/>
      <c r="D43" s="332"/>
      <c r="E43" s="333"/>
      <c r="F43" s="21">
        <f>SUM('Stavební rozpočet'!BU12:BU421)</f>
        <v>0</v>
      </c>
      <c r="G43" s="22" t="s">
        <v>4</v>
      </c>
      <c r="H43" s="22" t="s">
        <v>4</v>
      </c>
      <c r="I43" s="21">
        <f t="shared" si="1"/>
        <v>0</v>
      </c>
    </row>
    <row r="44" spans="1:9" x14ac:dyDescent="0.25">
      <c r="A44" s="334" t="s">
        <v>76</v>
      </c>
      <c r="B44" s="335"/>
      <c r="C44" s="335"/>
      <c r="D44" s="335"/>
      <c r="E44" s="336"/>
      <c r="F44" s="23">
        <f>SUM('Stavební rozpočet'!BV12:BV421)</f>
        <v>0</v>
      </c>
      <c r="G44" s="24" t="s">
        <v>4</v>
      </c>
      <c r="H44" s="24" t="s">
        <v>4</v>
      </c>
      <c r="I44" s="23">
        <f t="shared" si="1"/>
        <v>0</v>
      </c>
    </row>
    <row r="45" spans="1:9" x14ac:dyDescent="0.25">
      <c r="A45" s="337" t="s">
        <v>77</v>
      </c>
      <c r="B45" s="338"/>
      <c r="C45" s="338"/>
      <c r="D45" s="338"/>
      <c r="E45" s="339"/>
      <c r="F45" s="25" t="s">
        <v>4</v>
      </c>
      <c r="G45" s="26" t="s">
        <v>4</v>
      </c>
      <c r="H45" s="26" t="s">
        <v>4</v>
      </c>
      <c r="I45" s="27">
        <f>SUM(I35:I44)</f>
        <v>0</v>
      </c>
    </row>
  </sheetData>
  <sheetProtection password="CC89" sheet="1"/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5"/>
  <sheetViews>
    <sheetView workbookViewId="0">
      <pane ySplit="11" topLeftCell="A12" activePane="bottomLeft" state="frozen"/>
      <selection pane="bottomLeft" activeCell="A65" sqref="A65:L65"/>
    </sheetView>
  </sheetViews>
  <sheetFormatPr defaultColWidth="12.140625" defaultRowHeight="15" customHeight="1" x14ac:dyDescent="0.25"/>
  <cols>
    <col min="1" max="1" width="5.7109375" customWidth="1"/>
    <col min="2" max="9" width="15.7109375" customWidth="1"/>
    <col min="10" max="12" width="14.28515625" customWidth="1"/>
    <col min="13" max="16" width="12.140625" hidden="1"/>
  </cols>
  <sheetData>
    <row r="1" spans="1:16" ht="54.75" customHeight="1" x14ac:dyDescent="0.25">
      <c r="A1" s="321" t="s">
        <v>78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6" x14ac:dyDescent="0.25">
      <c r="A2" s="322" t="s">
        <v>1</v>
      </c>
      <c r="B2" s="323"/>
      <c r="C2" s="323"/>
      <c r="D2" s="328" t="str">
        <f>'Stavební rozpočet'!C2</f>
        <v>Stavební úpravy objektu čp. 80 se změnou užívání</v>
      </c>
      <c r="E2" s="329"/>
      <c r="F2" s="329"/>
      <c r="G2" s="319" t="s">
        <v>79</v>
      </c>
      <c r="H2" s="319" t="str">
        <f>'Stavební rozpočet'!G2</f>
        <v xml:space="preserve"> </v>
      </c>
      <c r="I2" s="319" t="s">
        <v>2</v>
      </c>
      <c r="J2" s="319" t="str">
        <f>'Stavební rozpočet'!I2</f>
        <v>Obec Cetoraz, Cetoraz 206, Cetoraz</v>
      </c>
      <c r="K2" s="323"/>
      <c r="L2" s="325"/>
    </row>
    <row r="3" spans="1:16" ht="15" customHeight="1" x14ac:dyDescent="0.25">
      <c r="A3" s="324"/>
      <c r="B3" s="280"/>
      <c r="C3" s="280"/>
      <c r="D3" s="330"/>
      <c r="E3" s="330"/>
      <c r="F3" s="330"/>
      <c r="G3" s="280"/>
      <c r="H3" s="280"/>
      <c r="I3" s="280"/>
      <c r="J3" s="280"/>
      <c r="K3" s="280"/>
      <c r="L3" s="326"/>
    </row>
    <row r="4" spans="1:16" x14ac:dyDescent="0.25">
      <c r="A4" s="317" t="s">
        <v>5</v>
      </c>
      <c r="B4" s="280"/>
      <c r="C4" s="280"/>
      <c r="D4" s="279" t="str">
        <f>'Stavební rozpočet'!C4</f>
        <v xml:space="preserve"> </v>
      </c>
      <c r="E4" s="280"/>
      <c r="F4" s="280"/>
      <c r="G4" s="279" t="s">
        <v>10</v>
      </c>
      <c r="H4" s="279" t="str">
        <f>'Stavební rozpočet'!G4</f>
        <v>02.12.2024</v>
      </c>
      <c r="I4" s="279" t="s">
        <v>6</v>
      </c>
      <c r="J4" s="279" t="str">
        <f>'Stavební rozpočet'!I4</f>
        <v>Ing. František Kovář, Dlouhá Lhota 6, Chýnov</v>
      </c>
      <c r="K4" s="280"/>
      <c r="L4" s="326"/>
    </row>
    <row r="5" spans="1:16" ht="15" customHeight="1" x14ac:dyDescent="0.25">
      <c r="A5" s="324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326"/>
    </row>
    <row r="6" spans="1:16" x14ac:dyDescent="0.25">
      <c r="A6" s="317" t="s">
        <v>8</v>
      </c>
      <c r="B6" s="280"/>
      <c r="C6" s="280"/>
      <c r="D6" s="279" t="str">
        <f>'Stavební rozpočet'!C6</f>
        <v>Cetoraz st.p.č. 89</v>
      </c>
      <c r="E6" s="280"/>
      <c r="F6" s="280"/>
      <c r="G6" s="279" t="s">
        <v>11</v>
      </c>
      <c r="H6" s="279" t="str">
        <f>'Stavební rozpočet'!G6</f>
        <v xml:space="preserve"> </v>
      </c>
      <c r="I6" s="279" t="s">
        <v>9</v>
      </c>
      <c r="J6" s="279" t="str">
        <f>'Stavební rozpočet'!I6</f>
        <v> </v>
      </c>
      <c r="K6" s="280"/>
      <c r="L6" s="326"/>
    </row>
    <row r="7" spans="1:16" ht="15" customHeight="1" x14ac:dyDescent="0.25">
      <c r="A7" s="324"/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326"/>
    </row>
    <row r="8" spans="1:16" x14ac:dyDescent="0.25">
      <c r="A8" s="317" t="s">
        <v>13</v>
      </c>
      <c r="B8" s="280"/>
      <c r="C8" s="280"/>
      <c r="D8" s="279" t="str">
        <f>'Stavební rozpočet'!C8</f>
        <v xml:space="preserve"> </v>
      </c>
      <c r="E8" s="280"/>
      <c r="F8" s="280"/>
      <c r="G8" s="279" t="s">
        <v>80</v>
      </c>
      <c r="H8" s="279" t="str">
        <f>'Stavební rozpočet'!G8</f>
        <v>02.12.2024</v>
      </c>
      <c r="I8" s="279" t="s">
        <v>14</v>
      </c>
      <c r="J8" s="279" t="str">
        <f>'Stavební rozpočet'!I8</f>
        <v>Alen Kadlecová</v>
      </c>
      <c r="K8" s="280"/>
      <c r="L8" s="326"/>
    </row>
    <row r="9" spans="1:16" x14ac:dyDescent="0.25">
      <c r="A9" s="363"/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9"/>
    </row>
    <row r="10" spans="1:16" x14ac:dyDescent="0.25">
      <c r="A10" s="28" t="s">
        <v>81</v>
      </c>
      <c r="B10" s="360" t="s">
        <v>81</v>
      </c>
      <c r="C10" s="361"/>
      <c r="D10" s="361"/>
      <c r="E10" s="361"/>
      <c r="F10" s="361"/>
      <c r="G10" s="361"/>
      <c r="H10" s="361"/>
      <c r="I10" s="362"/>
      <c r="J10" s="354" t="s">
        <v>82</v>
      </c>
      <c r="K10" s="355"/>
      <c r="L10" s="356"/>
    </row>
    <row r="11" spans="1:16" x14ac:dyDescent="0.25">
      <c r="A11" s="29" t="s">
        <v>83</v>
      </c>
      <c r="B11" s="351" t="s">
        <v>84</v>
      </c>
      <c r="C11" s="352"/>
      <c r="D11" s="352"/>
      <c r="E11" s="352"/>
      <c r="F11" s="352"/>
      <c r="G11" s="352"/>
      <c r="H11" s="352"/>
      <c r="I11" s="353"/>
      <c r="J11" s="30" t="s">
        <v>85</v>
      </c>
      <c r="K11" s="31" t="s">
        <v>27</v>
      </c>
      <c r="L11" s="32" t="s">
        <v>86</v>
      </c>
    </row>
    <row r="12" spans="1:16" x14ac:dyDescent="0.25">
      <c r="A12" s="33" t="s">
        <v>4</v>
      </c>
      <c r="B12" s="357" t="s">
        <v>87</v>
      </c>
      <c r="C12" s="357"/>
      <c r="D12" s="357"/>
      <c r="E12" s="357"/>
      <c r="F12" s="357"/>
      <c r="G12" s="357"/>
      <c r="H12" s="357"/>
      <c r="I12" s="357"/>
      <c r="J12" s="34">
        <f>'Stavební rozpočet'!H12</f>
        <v>0</v>
      </c>
      <c r="K12" s="34">
        <f>'Stavební rozpočet'!I12</f>
        <v>0</v>
      </c>
      <c r="L12" s="35">
        <f>'Stavební rozpočet'!J12</f>
        <v>0</v>
      </c>
      <c r="M12" s="36" t="s">
        <v>88</v>
      </c>
      <c r="N12" s="37">
        <f t="shared" ref="N12:N43" si="0">IF(M12="F",0,L12)</f>
        <v>0</v>
      </c>
      <c r="O12" s="2" t="s">
        <v>89</v>
      </c>
      <c r="P12" s="37">
        <f t="shared" ref="P12:P43" si="1">IF(M12="T",0,L12)</f>
        <v>0</v>
      </c>
    </row>
    <row r="13" spans="1:16" x14ac:dyDescent="0.25">
      <c r="A13" s="1" t="s">
        <v>90</v>
      </c>
      <c r="B13" s="280" t="s">
        <v>91</v>
      </c>
      <c r="C13" s="280"/>
      <c r="D13" s="280"/>
      <c r="E13" s="280"/>
      <c r="F13" s="280"/>
      <c r="G13" s="280"/>
      <c r="H13" s="280"/>
      <c r="I13" s="280"/>
      <c r="J13" s="37">
        <f>'Stavební rozpočet'!H13</f>
        <v>0</v>
      </c>
      <c r="K13" s="37">
        <f>'Stavební rozpočet'!I13</f>
        <v>0</v>
      </c>
      <c r="L13" s="38">
        <f>'Stavební rozpočet'!J13</f>
        <v>0</v>
      </c>
      <c r="M13" s="36" t="s">
        <v>92</v>
      </c>
      <c r="N13" s="37">
        <f t="shared" si="0"/>
        <v>0</v>
      </c>
      <c r="O13" s="2" t="s">
        <v>89</v>
      </c>
      <c r="P13" s="37">
        <f t="shared" si="1"/>
        <v>0</v>
      </c>
    </row>
    <row r="14" spans="1:16" x14ac:dyDescent="0.25">
      <c r="A14" s="1" t="s">
        <v>93</v>
      </c>
      <c r="B14" s="280" t="s">
        <v>94</v>
      </c>
      <c r="C14" s="280"/>
      <c r="D14" s="280"/>
      <c r="E14" s="280"/>
      <c r="F14" s="280"/>
      <c r="G14" s="280"/>
      <c r="H14" s="280"/>
      <c r="I14" s="280"/>
      <c r="J14" s="37">
        <f>'Stavební rozpočet'!H21</f>
        <v>0</v>
      </c>
      <c r="K14" s="37">
        <f>'Stavební rozpočet'!I21</f>
        <v>0</v>
      </c>
      <c r="L14" s="38">
        <f>'Stavební rozpočet'!J21</f>
        <v>0</v>
      </c>
      <c r="M14" s="36" t="s">
        <v>92</v>
      </c>
      <c r="N14" s="37">
        <f t="shared" si="0"/>
        <v>0</v>
      </c>
      <c r="O14" s="2" t="s">
        <v>89</v>
      </c>
      <c r="P14" s="37">
        <f t="shared" si="1"/>
        <v>0</v>
      </c>
    </row>
    <row r="15" spans="1:16" x14ac:dyDescent="0.25">
      <c r="A15" s="1" t="s">
        <v>95</v>
      </c>
      <c r="B15" s="280" t="s">
        <v>96</v>
      </c>
      <c r="C15" s="280"/>
      <c r="D15" s="280"/>
      <c r="E15" s="280"/>
      <c r="F15" s="280"/>
      <c r="G15" s="280"/>
      <c r="H15" s="280"/>
      <c r="I15" s="280"/>
      <c r="J15" s="37">
        <f>'Stavební rozpočet'!H24</f>
        <v>0</v>
      </c>
      <c r="K15" s="37">
        <f>'Stavební rozpočet'!I24</f>
        <v>0</v>
      </c>
      <c r="L15" s="38">
        <f>'Stavební rozpočet'!J24</f>
        <v>0</v>
      </c>
      <c r="M15" s="36" t="s">
        <v>92</v>
      </c>
      <c r="N15" s="37">
        <f t="shared" si="0"/>
        <v>0</v>
      </c>
      <c r="O15" s="2" t="s">
        <v>89</v>
      </c>
      <c r="P15" s="37">
        <f t="shared" si="1"/>
        <v>0</v>
      </c>
    </row>
    <row r="16" spans="1:16" x14ac:dyDescent="0.25">
      <c r="A16" s="1" t="s">
        <v>97</v>
      </c>
      <c r="B16" s="280" t="s">
        <v>98</v>
      </c>
      <c r="C16" s="280"/>
      <c r="D16" s="280"/>
      <c r="E16" s="280"/>
      <c r="F16" s="280"/>
      <c r="G16" s="280"/>
      <c r="H16" s="280"/>
      <c r="I16" s="280"/>
      <c r="J16" s="37">
        <f>'Stavební rozpočet'!H29</f>
        <v>0</v>
      </c>
      <c r="K16" s="37">
        <f>'Stavební rozpočet'!I29</f>
        <v>0</v>
      </c>
      <c r="L16" s="38">
        <f>'Stavební rozpočet'!J29</f>
        <v>0</v>
      </c>
      <c r="M16" s="36" t="s">
        <v>92</v>
      </c>
      <c r="N16" s="37">
        <f t="shared" si="0"/>
        <v>0</v>
      </c>
      <c r="O16" s="2" t="s">
        <v>89</v>
      </c>
      <c r="P16" s="37">
        <f t="shared" si="1"/>
        <v>0</v>
      </c>
    </row>
    <row r="17" spans="1:16" x14ac:dyDescent="0.25">
      <c r="A17" s="1" t="s">
        <v>99</v>
      </c>
      <c r="B17" s="280" t="s">
        <v>100</v>
      </c>
      <c r="C17" s="280"/>
      <c r="D17" s="280"/>
      <c r="E17" s="280"/>
      <c r="F17" s="280"/>
      <c r="G17" s="280"/>
      <c r="H17" s="280"/>
      <c r="I17" s="280"/>
      <c r="J17" s="37">
        <f>'Stavební rozpočet'!H32</f>
        <v>0</v>
      </c>
      <c r="K17" s="37">
        <f>'Stavební rozpočet'!I32</f>
        <v>0</v>
      </c>
      <c r="L17" s="38">
        <f>'Stavební rozpočet'!J32</f>
        <v>0</v>
      </c>
      <c r="M17" s="36" t="s">
        <v>92</v>
      </c>
      <c r="N17" s="37">
        <f t="shared" si="0"/>
        <v>0</v>
      </c>
      <c r="O17" s="2" t="s">
        <v>89</v>
      </c>
      <c r="P17" s="37">
        <f t="shared" si="1"/>
        <v>0</v>
      </c>
    </row>
    <row r="18" spans="1:16" x14ac:dyDescent="0.25">
      <c r="A18" s="1" t="s">
        <v>101</v>
      </c>
      <c r="B18" s="280" t="s">
        <v>102</v>
      </c>
      <c r="C18" s="280"/>
      <c r="D18" s="280"/>
      <c r="E18" s="280"/>
      <c r="F18" s="280"/>
      <c r="G18" s="280"/>
      <c r="H18" s="280"/>
      <c r="I18" s="280"/>
      <c r="J18" s="37">
        <f>'Stavební rozpočet'!H34</f>
        <v>0</v>
      </c>
      <c r="K18" s="37">
        <f>'Stavební rozpočet'!I34</f>
        <v>0</v>
      </c>
      <c r="L18" s="38">
        <f>'Stavební rozpočet'!J34</f>
        <v>0</v>
      </c>
      <c r="M18" s="36" t="s">
        <v>92</v>
      </c>
      <c r="N18" s="37">
        <f t="shared" si="0"/>
        <v>0</v>
      </c>
      <c r="O18" s="2" t="s">
        <v>89</v>
      </c>
      <c r="P18" s="37">
        <f t="shared" si="1"/>
        <v>0</v>
      </c>
    </row>
    <row r="19" spans="1:16" x14ac:dyDescent="0.25">
      <c r="A19" s="1" t="s">
        <v>103</v>
      </c>
      <c r="B19" s="280" t="s">
        <v>104</v>
      </c>
      <c r="C19" s="280"/>
      <c r="D19" s="280"/>
      <c r="E19" s="280"/>
      <c r="F19" s="280"/>
      <c r="G19" s="280"/>
      <c r="H19" s="280"/>
      <c r="I19" s="280"/>
      <c r="J19" s="37">
        <f>'Stavební rozpočet'!H36</f>
        <v>0</v>
      </c>
      <c r="K19" s="37">
        <f>'Stavební rozpočet'!I36</f>
        <v>0</v>
      </c>
      <c r="L19" s="38">
        <f>'Stavební rozpočet'!J36</f>
        <v>0</v>
      </c>
      <c r="M19" s="36" t="s">
        <v>92</v>
      </c>
      <c r="N19" s="37">
        <f t="shared" si="0"/>
        <v>0</v>
      </c>
      <c r="O19" s="2" t="s">
        <v>89</v>
      </c>
      <c r="P19" s="37">
        <f t="shared" si="1"/>
        <v>0</v>
      </c>
    </row>
    <row r="20" spans="1:16" x14ac:dyDescent="0.25">
      <c r="A20" s="1" t="s">
        <v>105</v>
      </c>
      <c r="B20" s="280" t="s">
        <v>106</v>
      </c>
      <c r="C20" s="280"/>
      <c r="D20" s="280"/>
      <c r="E20" s="280"/>
      <c r="F20" s="280"/>
      <c r="G20" s="280"/>
      <c r="H20" s="280"/>
      <c r="I20" s="280"/>
      <c r="J20" s="37">
        <f>'Stavební rozpočet'!H38</f>
        <v>0</v>
      </c>
      <c r="K20" s="37">
        <f>'Stavební rozpočet'!I38</f>
        <v>0</v>
      </c>
      <c r="L20" s="38">
        <f>'Stavební rozpočet'!J38</f>
        <v>0</v>
      </c>
      <c r="M20" s="36" t="s">
        <v>92</v>
      </c>
      <c r="N20" s="37">
        <f t="shared" si="0"/>
        <v>0</v>
      </c>
      <c r="O20" s="2" t="s">
        <v>89</v>
      </c>
      <c r="P20" s="37">
        <f t="shared" si="1"/>
        <v>0</v>
      </c>
    </row>
    <row r="21" spans="1:16" x14ac:dyDescent="0.25">
      <c r="A21" s="1" t="s">
        <v>107</v>
      </c>
      <c r="B21" s="280" t="s">
        <v>108</v>
      </c>
      <c r="C21" s="280"/>
      <c r="D21" s="280"/>
      <c r="E21" s="280"/>
      <c r="F21" s="280"/>
      <c r="G21" s="280"/>
      <c r="H21" s="280"/>
      <c r="I21" s="280"/>
      <c r="J21" s="37">
        <f>'Stavební rozpočet'!H48</f>
        <v>0</v>
      </c>
      <c r="K21" s="37">
        <f>'Stavební rozpočet'!I48</f>
        <v>0</v>
      </c>
      <c r="L21" s="38">
        <f>'Stavební rozpočet'!J48</f>
        <v>0</v>
      </c>
      <c r="M21" s="36" t="s">
        <v>92</v>
      </c>
      <c r="N21" s="37">
        <f t="shared" si="0"/>
        <v>0</v>
      </c>
      <c r="O21" s="2" t="s">
        <v>89</v>
      </c>
      <c r="P21" s="37">
        <f t="shared" si="1"/>
        <v>0</v>
      </c>
    </row>
    <row r="22" spans="1:16" x14ac:dyDescent="0.25">
      <c r="A22" s="1" t="s">
        <v>109</v>
      </c>
      <c r="B22" s="280" t="s">
        <v>110</v>
      </c>
      <c r="C22" s="280"/>
      <c r="D22" s="280"/>
      <c r="E22" s="280"/>
      <c r="F22" s="280"/>
      <c r="G22" s="280"/>
      <c r="H22" s="280"/>
      <c r="I22" s="280"/>
      <c r="J22" s="37">
        <f>'Stavební rozpočet'!H50</f>
        <v>0</v>
      </c>
      <c r="K22" s="37">
        <f>'Stavební rozpočet'!I50</f>
        <v>0</v>
      </c>
      <c r="L22" s="38">
        <f>'Stavební rozpočet'!J50</f>
        <v>0</v>
      </c>
      <c r="M22" s="36" t="s">
        <v>92</v>
      </c>
      <c r="N22" s="37">
        <f t="shared" si="0"/>
        <v>0</v>
      </c>
      <c r="O22" s="2" t="s">
        <v>89</v>
      </c>
      <c r="P22" s="37">
        <f t="shared" si="1"/>
        <v>0</v>
      </c>
    </row>
    <row r="23" spans="1:16" x14ac:dyDescent="0.25">
      <c r="A23" s="1" t="s">
        <v>111</v>
      </c>
      <c r="B23" s="280" t="s">
        <v>112</v>
      </c>
      <c r="C23" s="280"/>
      <c r="D23" s="280"/>
      <c r="E23" s="280"/>
      <c r="F23" s="280"/>
      <c r="G23" s="280"/>
      <c r="H23" s="280"/>
      <c r="I23" s="280"/>
      <c r="J23" s="37">
        <f>'Stavební rozpočet'!H63</f>
        <v>0</v>
      </c>
      <c r="K23" s="37">
        <f>'Stavební rozpočet'!I63</f>
        <v>0</v>
      </c>
      <c r="L23" s="38">
        <f>'Stavební rozpočet'!J63</f>
        <v>0</v>
      </c>
      <c r="M23" s="36" t="s">
        <v>92</v>
      </c>
      <c r="N23" s="37">
        <f t="shared" si="0"/>
        <v>0</v>
      </c>
      <c r="O23" s="2" t="s">
        <v>89</v>
      </c>
      <c r="P23" s="37">
        <f t="shared" si="1"/>
        <v>0</v>
      </c>
    </row>
    <row r="24" spans="1:16" x14ac:dyDescent="0.25">
      <c r="A24" s="1" t="s">
        <v>113</v>
      </c>
      <c r="B24" s="280" t="s">
        <v>114</v>
      </c>
      <c r="C24" s="280"/>
      <c r="D24" s="280"/>
      <c r="E24" s="280"/>
      <c r="F24" s="280"/>
      <c r="G24" s="280"/>
      <c r="H24" s="280"/>
      <c r="I24" s="280"/>
      <c r="J24" s="37">
        <f>'Stavební rozpočet'!H69</f>
        <v>0</v>
      </c>
      <c r="K24" s="37">
        <f>'Stavební rozpočet'!I69</f>
        <v>0</v>
      </c>
      <c r="L24" s="38">
        <f>'Stavební rozpočet'!J69</f>
        <v>0</v>
      </c>
      <c r="M24" s="36" t="s">
        <v>92</v>
      </c>
      <c r="N24" s="37">
        <f t="shared" si="0"/>
        <v>0</v>
      </c>
      <c r="O24" s="2" t="s">
        <v>89</v>
      </c>
      <c r="P24" s="37">
        <f t="shared" si="1"/>
        <v>0</v>
      </c>
    </row>
    <row r="25" spans="1:16" x14ac:dyDescent="0.25">
      <c r="A25" s="1" t="s">
        <v>115</v>
      </c>
      <c r="B25" s="280" t="s">
        <v>116</v>
      </c>
      <c r="C25" s="280"/>
      <c r="D25" s="280"/>
      <c r="E25" s="280"/>
      <c r="F25" s="280"/>
      <c r="G25" s="280"/>
      <c r="H25" s="280"/>
      <c r="I25" s="280"/>
      <c r="J25" s="37">
        <f>'Stavební rozpočet'!H79</f>
        <v>0</v>
      </c>
      <c r="K25" s="37">
        <f>'Stavební rozpočet'!I79</f>
        <v>0</v>
      </c>
      <c r="L25" s="38">
        <f>'Stavební rozpočet'!J79</f>
        <v>0</v>
      </c>
      <c r="M25" s="36" t="s">
        <v>92</v>
      </c>
      <c r="N25" s="37">
        <f t="shared" si="0"/>
        <v>0</v>
      </c>
      <c r="O25" s="2" t="s">
        <v>89</v>
      </c>
      <c r="P25" s="37">
        <f t="shared" si="1"/>
        <v>0</v>
      </c>
    </row>
    <row r="26" spans="1:16" x14ac:dyDescent="0.25">
      <c r="A26" s="1" t="s">
        <v>117</v>
      </c>
      <c r="B26" s="280" t="s">
        <v>118</v>
      </c>
      <c r="C26" s="280"/>
      <c r="D26" s="280"/>
      <c r="E26" s="280"/>
      <c r="F26" s="280"/>
      <c r="G26" s="280"/>
      <c r="H26" s="280"/>
      <c r="I26" s="280"/>
      <c r="J26" s="37">
        <f>'Stavební rozpočet'!H86</f>
        <v>0</v>
      </c>
      <c r="K26" s="37">
        <f>'Stavební rozpočet'!I86</f>
        <v>0</v>
      </c>
      <c r="L26" s="38">
        <f>'Stavební rozpočet'!J86</f>
        <v>0</v>
      </c>
      <c r="M26" s="36" t="s">
        <v>92</v>
      </c>
      <c r="N26" s="37">
        <f t="shared" si="0"/>
        <v>0</v>
      </c>
      <c r="O26" s="2" t="s">
        <v>89</v>
      </c>
      <c r="P26" s="37">
        <f t="shared" si="1"/>
        <v>0</v>
      </c>
    </row>
    <row r="27" spans="1:16" x14ac:dyDescent="0.25">
      <c r="A27" s="1" t="s">
        <v>119</v>
      </c>
      <c r="B27" s="280" t="s">
        <v>120</v>
      </c>
      <c r="C27" s="280"/>
      <c r="D27" s="280"/>
      <c r="E27" s="280"/>
      <c r="F27" s="280"/>
      <c r="G27" s="280"/>
      <c r="H27" s="280"/>
      <c r="I27" s="280"/>
      <c r="J27" s="37">
        <f>'Stavební rozpočet'!H93</f>
        <v>0</v>
      </c>
      <c r="K27" s="37">
        <f>'Stavební rozpočet'!I93</f>
        <v>0</v>
      </c>
      <c r="L27" s="38">
        <f>'Stavební rozpočet'!J93</f>
        <v>0</v>
      </c>
      <c r="M27" s="36" t="s">
        <v>92</v>
      </c>
      <c r="N27" s="37">
        <f t="shared" si="0"/>
        <v>0</v>
      </c>
      <c r="O27" s="2" t="s">
        <v>89</v>
      </c>
      <c r="P27" s="37">
        <f t="shared" si="1"/>
        <v>0</v>
      </c>
    </row>
    <row r="28" spans="1:16" x14ac:dyDescent="0.25">
      <c r="A28" s="1" t="s">
        <v>121</v>
      </c>
      <c r="B28" s="280" t="s">
        <v>122</v>
      </c>
      <c r="C28" s="280"/>
      <c r="D28" s="280"/>
      <c r="E28" s="280"/>
      <c r="F28" s="280"/>
      <c r="G28" s="280"/>
      <c r="H28" s="280"/>
      <c r="I28" s="280"/>
      <c r="J28" s="37">
        <f>'Stavební rozpočet'!H102</f>
        <v>0</v>
      </c>
      <c r="K28" s="37">
        <f>'Stavební rozpočet'!I102</f>
        <v>0</v>
      </c>
      <c r="L28" s="38">
        <f>'Stavební rozpočet'!J102</f>
        <v>0</v>
      </c>
      <c r="M28" s="36" t="s">
        <v>92</v>
      </c>
      <c r="N28" s="37">
        <f t="shared" si="0"/>
        <v>0</v>
      </c>
      <c r="O28" s="2" t="s">
        <v>89</v>
      </c>
      <c r="P28" s="37">
        <f t="shared" si="1"/>
        <v>0</v>
      </c>
    </row>
    <row r="29" spans="1:16" x14ac:dyDescent="0.25">
      <c r="A29" s="1" t="s">
        <v>123</v>
      </c>
      <c r="B29" s="280" t="s">
        <v>124</v>
      </c>
      <c r="C29" s="280"/>
      <c r="D29" s="280"/>
      <c r="E29" s="280"/>
      <c r="F29" s="280"/>
      <c r="G29" s="280"/>
      <c r="H29" s="280"/>
      <c r="I29" s="280"/>
      <c r="J29" s="37">
        <f>'Stavební rozpočet'!H108</f>
        <v>0</v>
      </c>
      <c r="K29" s="37">
        <f>'Stavební rozpočet'!I108</f>
        <v>0</v>
      </c>
      <c r="L29" s="38">
        <f>'Stavební rozpočet'!J108</f>
        <v>0</v>
      </c>
      <c r="M29" s="36" t="s">
        <v>92</v>
      </c>
      <c r="N29" s="37">
        <f t="shared" si="0"/>
        <v>0</v>
      </c>
      <c r="O29" s="2" t="s">
        <v>89</v>
      </c>
      <c r="P29" s="37">
        <f t="shared" si="1"/>
        <v>0</v>
      </c>
    </row>
    <row r="30" spans="1:16" x14ac:dyDescent="0.25">
      <c r="A30" s="1" t="s">
        <v>125</v>
      </c>
      <c r="B30" s="280" t="s">
        <v>126</v>
      </c>
      <c r="C30" s="280"/>
      <c r="D30" s="280"/>
      <c r="E30" s="280"/>
      <c r="F30" s="280"/>
      <c r="G30" s="280"/>
      <c r="H30" s="280"/>
      <c r="I30" s="280"/>
      <c r="J30" s="37">
        <f>'Stavební rozpočet'!H118</f>
        <v>0</v>
      </c>
      <c r="K30" s="37">
        <f>'Stavební rozpočet'!I118</f>
        <v>0</v>
      </c>
      <c r="L30" s="38">
        <f>'Stavební rozpočet'!J118</f>
        <v>0</v>
      </c>
      <c r="M30" s="36" t="s">
        <v>92</v>
      </c>
      <c r="N30" s="37">
        <f t="shared" si="0"/>
        <v>0</v>
      </c>
      <c r="O30" s="2" t="s">
        <v>89</v>
      </c>
      <c r="P30" s="37">
        <f t="shared" si="1"/>
        <v>0</v>
      </c>
    </row>
    <row r="31" spans="1:16" x14ac:dyDescent="0.25">
      <c r="A31" s="1" t="s">
        <v>127</v>
      </c>
      <c r="B31" s="280" t="s">
        <v>128</v>
      </c>
      <c r="C31" s="280"/>
      <c r="D31" s="280"/>
      <c r="E31" s="280"/>
      <c r="F31" s="280"/>
      <c r="G31" s="280"/>
      <c r="H31" s="280"/>
      <c r="I31" s="280"/>
      <c r="J31" s="37">
        <f>'Stavební rozpočet'!H125</f>
        <v>0</v>
      </c>
      <c r="K31" s="37">
        <f>'Stavební rozpočet'!I125</f>
        <v>0</v>
      </c>
      <c r="L31" s="38">
        <f>'Stavební rozpočet'!J125</f>
        <v>0</v>
      </c>
      <c r="M31" s="36" t="s">
        <v>92</v>
      </c>
      <c r="N31" s="37">
        <f t="shared" si="0"/>
        <v>0</v>
      </c>
      <c r="O31" s="2" t="s">
        <v>89</v>
      </c>
      <c r="P31" s="37">
        <f t="shared" si="1"/>
        <v>0</v>
      </c>
    </row>
    <row r="32" spans="1:16" x14ac:dyDescent="0.25">
      <c r="A32" s="1" t="s">
        <v>129</v>
      </c>
      <c r="B32" s="280" t="s">
        <v>130</v>
      </c>
      <c r="C32" s="280"/>
      <c r="D32" s="280"/>
      <c r="E32" s="280"/>
      <c r="F32" s="280"/>
      <c r="G32" s="280"/>
      <c r="H32" s="280"/>
      <c r="I32" s="280"/>
      <c r="J32" s="37">
        <f>'Stavební rozpočet'!H131</f>
        <v>0</v>
      </c>
      <c r="K32" s="37">
        <f>'Stavební rozpočet'!I131</f>
        <v>0</v>
      </c>
      <c r="L32" s="38">
        <f>'Stavební rozpočet'!J131</f>
        <v>0</v>
      </c>
      <c r="M32" s="36" t="s">
        <v>92</v>
      </c>
      <c r="N32" s="37">
        <f t="shared" si="0"/>
        <v>0</v>
      </c>
      <c r="O32" s="2" t="s">
        <v>89</v>
      </c>
      <c r="P32" s="37">
        <f t="shared" si="1"/>
        <v>0</v>
      </c>
    </row>
    <row r="33" spans="1:16" x14ac:dyDescent="0.25">
      <c r="A33" s="1" t="s">
        <v>131</v>
      </c>
      <c r="B33" s="280" t="s">
        <v>132</v>
      </c>
      <c r="C33" s="280"/>
      <c r="D33" s="280"/>
      <c r="E33" s="280"/>
      <c r="F33" s="280"/>
      <c r="G33" s="280"/>
      <c r="H33" s="280"/>
      <c r="I33" s="280"/>
      <c r="J33" s="37">
        <f>'Stavební rozpočet'!H137</f>
        <v>0</v>
      </c>
      <c r="K33" s="37">
        <f>'Stavební rozpočet'!I137</f>
        <v>0</v>
      </c>
      <c r="L33" s="38">
        <f>'Stavební rozpočet'!J137</f>
        <v>0</v>
      </c>
      <c r="M33" s="36" t="s">
        <v>92</v>
      </c>
      <c r="N33" s="37">
        <f t="shared" si="0"/>
        <v>0</v>
      </c>
      <c r="O33" s="2" t="s">
        <v>89</v>
      </c>
      <c r="P33" s="37">
        <f t="shared" si="1"/>
        <v>0</v>
      </c>
    </row>
    <row r="34" spans="1:16" x14ac:dyDescent="0.25">
      <c r="A34" s="1" t="s">
        <v>133</v>
      </c>
      <c r="B34" s="280" t="s">
        <v>134</v>
      </c>
      <c r="C34" s="280"/>
      <c r="D34" s="280"/>
      <c r="E34" s="280"/>
      <c r="F34" s="280"/>
      <c r="G34" s="280"/>
      <c r="H34" s="280"/>
      <c r="I34" s="280"/>
      <c r="J34" s="37">
        <f>'Stavební rozpočet'!H149</f>
        <v>0</v>
      </c>
      <c r="K34" s="37">
        <f>'Stavební rozpočet'!I149</f>
        <v>0</v>
      </c>
      <c r="L34" s="38">
        <f>'Stavební rozpočet'!J149</f>
        <v>0</v>
      </c>
      <c r="M34" s="36" t="s">
        <v>92</v>
      </c>
      <c r="N34" s="37">
        <f t="shared" si="0"/>
        <v>0</v>
      </c>
      <c r="O34" s="2" t="s">
        <v>89</v>
      </c>
      <c r="P34" s="37">
        <f t="shared" si="1"/>
        <v>0</v>
      </c>
    </row>
    <row r="35" spans="1:16" x14ac:dyDescent="0.25">
      <c r="A35" s="1" t="s">
        <v>135</v>
      </c>
      <c r="B35" s="280" t="s">
        <v>136</v>
      </c>
      <c r="C35" s="280"/>
      <c r="D35" s="280"/>
      <c r="E35" s="280"/>
      <c r="F35" s="280"/>
      <c r="G35" s="280"/>
      <c r="H35" s="280"/>
      <c r="I35" s="280"/>
      <c r="J35" s="37">
        <f>'Stavební rozpočet'!H169</f>
        <v>0</v>
      </c>
      <c r="K35" s="37">
        <f>'Stavební rozpočet'!I169</f>
        <v>0</v>
      </c>
      <c r="L35" s="38">
        <f>'Stavební rozpočet'!J169</f>
        <v>0</v>
      </c>
      <c r="M35" s="36" t="s">
        <v>92</v>
      </c>
      <c r="N35" s="37">
        <f t="shared" si="0"/>
        <v>0</v>
      </c>
      <c r="O35" s="2" t="s">
        <v>89</v>
      </c>
      <c r="P35" s="37">
        <f t="shared" si="1"/>
        <v>0</v>
      </c>
    </row>
    <row r="36" spans="1:16" x14ac:dyDescent="0.25">
      <c r="A36" s="1" t="s">
        <v>137</v>
      </c>
      <c r="B36" s="280" t="s">
        <v>138</v>
      </c>
      <c r="C36" s="280"/>
      <c r="D36" s="280"/>
      <c r="E36" s="280"/>
      <c r="F36" s="280"/>
      <c r="G36" s="280"/>
      <c r="H36" s="280"/>
      <c r="I36" s="280"/>
      <c r="J36" s="37">
        <f>'Stavební rozpočet'!H178</f>
        <v>0</v>
      </c>
      <c r="K36" s="37">
        <f>'Stavební rozpočet'!I178</f>
        <v>0</v>
      </c>
      <c r="L36" s="38">
        <f>'Stavební rozpočet'!J178</f>
        <v>0</v>
      </c>
      <c r="M36" s="36" t="s">
        <v>92</v>
      </c>
      <c r="N36" s="37">
        <f t="shared" si="0"/>
        <v>0</v>
      </c>
      <c r="O36" s="2" t="s">
        <v>89</v>
      </c>
      <c r="P36" s="37">
        <f t="shared" si="1"/>
        <v>0</v>
      </c>
    </row>
    <row r="37" spans="1:16" x14ac:dyDescent="0.25">
      <c r="A37" s="1" t="s">
        <v>139</v>
      </c>
      <c r="B37" s="280" t="s">
        <v>140</v>
      </c>
      <c r="C37" s="280"/>
      <c r="D37" s="280"/>
      <c r="E37" s="280"/>
      <c r="F37" s="280"/>
      <c r="G37" s="280"/>
      <c r="H37" s="280"/>
      <c r="I37" s="280"/>
      <c r="J37" s="37">
        <f>'Stavební rozpočet'!H194</f>
        <v>0</v>
      </c>
      <c r="K37" s="37">
        <f>'Stavební rozpočet'!I194</f>
        <v>0</v>
      </c>
      <c r="L37" s="38">
        <f>'Stavební rozpočet'!J194</f>
        <v>0</v>
      </c>
      <c r="M37" s="36" t="s">
        <v>92</v>
      </c>
      <c r="N37" s="37">
        <f t="shared" si="0"/>
        <v>0</v>
      </c>
      <c r="O37" s="2" t="s">
        <v>89</v>
      </c>
      <c r="P37" s="37">
        <f t="shared" si="1"/>
        <v>0</v>
      </c>
    </row>
    <row r="38" spans="1:16" x14ac:dyDescent="0.25">
      <c r="A38" s="1" t="s">
        <v>141</v>
      </c>
      <c r="B38" s="280" t="s">
        <v>142</v>
      </c>
      <c r="C38" s="280"/>
      <c r="D38" s="280"/>
      <c r="E38" s="280"/>
      <c r="F38" s="280"/>
      <c r="G38" s="280"/>
      <c r="H38" s="280"/>
      <c r="I38" s="280"/>
      <c r="J38" s="37">
        <f>'Stavební rozpočet'!H227</f>
        <v>0</v>
      </c>
      <c r="K38" s="37">
        <f>'Stavební rozpočet'!I227</f>
        <v>0</v>
      </c>
      <c r="L38" s="38">
        <f>'Stavební rozpočet'!J227</f>
        <v>0</v>
      </c>
      <c r="M38" s="36" t="s">
        <v>92</v>
      </c>
      <c r="N38" s="37">
        <f t="shared" si="0"/>
        <v>0</v>
      </c>
      <c r="O38" s="2" t="s">
        <v>89</v>
      </c>
      <c r="P38" s="37">
        <f t="shared" si="1"/>
        <v>0</v>
      </c>
    </row>
    <row r="39" spans="1:16" x14ac:dyDescent="0.25">
      <c r="A39" s="1" t="s">
        <v>143</v>
      </c>
      <c r="B39" s="280" t="s">
        <v>144</v>
      </c>
      <c r="C39" s="280"/>
      <c r="D39" s="280"/>
      <c r="E39" s="280"/>
      <c r="F39" s="280"/>
      <c r="G39" s="280"/>
      <c r="H39" s="280"/>
      <c r="I39" s="280"/>
      <c r="J39" s="37">
        <f>'Stavební rozpočet'!H231</f>
        <v>0</v>
      </c>
      <c r="K39" s="37">
        <f>'Stavební rozpočet'!I231</f>
        <v>0</v>
      </c>
      <c r="L39" s="38">
        <f>'Stavební rozpočet'!J231</f>
        <v>0</v>
      </c>
      <c r="M39" s="36" t="s">
        <v>92</v>
      </c>
      <c r="N39" s="37">
        <f t="shared" si="0"/>
        <v>0</v>
      </c>
      <c r="O39" s="2" t="s">
        <v>89</v>
      </c>
      <c r="P39" s="37">
        <f t="shared" si="1"/>
        <v>0</v>
      </c>
    </row>
    <row r="40" spans="1:16" x14ac:dyDescent="0.25">
      <c r="A40" s="1" t="s">
        <v>145</v>
      </c>
      <c r="B40" s="280" t="s">
        <v>146</v>
      </c>
      <c r="C40" s="280"/>
      <c r="D40" s="280"/>
      <c r="E40" s="280"/>
      <c r="F40" s="280"/>
      <c r="G40" s="280"/>
      <c r="H40" s="280"/>
      <c r="I40" s="280"/>
      <c r="J40" s="37">
        <f>'Stavební rozpočet'!H238</f>
        <v>0</v>
      </c>
      <c r="K40" s="37">
        <f>'Stavební rozpočet'!I238</f>
        <v>0</v>
      </c>
      <c r="L40" s="38">
        <f>'Stavební rozpočet'!J238</f>
        <v>0</v>
      </c>
      <c r="M40" s="36" t="s">
        <v>92</v>
      </c>
      <c r="N40" s="37">
        <f t="shared" si="0"/>
        <v>0</v>
      </c>
      <c r="O40" s="2" t="s">
        <v>89</v>
      </c>
      <c r="P40" s="37">
        <f t="shared" si="1"/>
        <v>0</v>
      </c>
    </row>
    <row r="41" spans="1:16" x14ac:dyDescent="0.25">
      <c r="A41" s="1" t="s">
        <v>147</v>
      </c>
      <c r="B41" s="280" t="s">
        <v>148</v>
      </c>
      <c r="C41" s="280"/>
      <c r="D41" s="280"/>
      <c r="E41" s="280"/>
      <c r="F41" s="280"/>
      <c r="G41" s="280"/>
      <c r="H41" s="280"/>
      <c r="I41" s="280"/>
      <c r="J41" s="37">
        <f>'Stavební rozpočet'!H257</f>
        <v>0</v>
      </c>
      <c r="K41" s="37">
        <f>'Stavební rozpočet'!I257</f>
        <v>0</v>
      </c>
      <c r="L41" s="38">
        <f>'Stavební rozpočet'!J257</f>
        <v>0</v>
      </c>
      <c r="M41" s="36" t="s">
        <v>92</v>
      </c>
      <c r="N41" s="37">
        <f t="shared" si="0"/>
        <v>0</v>
      </c>
      <c r="O41" s="2" t="s">
        <v>89</v>
      </c>
      <c r="P41" s="37">
        <f t="shared" si="1"/>
        <v>0</v>
      </c>
    </row>
    <row r="42" spans="1:16" x14ac:dyDescent="0.25">
      <c r="A42" s="1" t="s">
        <v>149</v>
      </c>
      <c r="B42" s="280" t="s">
        <v>150</v>
      </c>
      <c r="C42" s="280"/>
      <c r="D42" s="280"/>
      <c r="E42" s="280"/>
      <c r="F42" s="280"/>
      <c r="G42" s="280"/>
      <c r="H42" s="280"/>
      <c r="I42" s="280"/>
      <c r="J42" s="37">
        <f>'Stavební rozpočet'!H293</f>
        <v>0</v>
      </c>
      <c r="K42" s="37">
        <f>'Stavební rozpočet'!I293</f>
        <v>0</v>
      </c>
      <c r="L42" s="38">
        <f>'Stavební rozpočet'!J293</f>
        <v>0</v>
      </c>
      <c r="M42" s="36" t="s">
        <v>92</v>
      </c>
      <c r="N42" s="37">
        <f t="shared" si="0"/>
        <v>0</v>
      </c>
      <c r="O42" s="2" t="s">
        <v>89</v>
      </c>
      <c r="P42" s="37">
        <f t="shared" si="1"/>
        <v>0</v>
      </c>
    </row>
    <row r="43" spans="1:16" x14ac:dyDescent="0.25">
      <c r="A43" s="1" t="s">
        <v>151</v>
      </c>
      <c r="B43" s="280" t="s">
        <v>152</v>
      </c>
      <c r="C43" s="280"/>
      <c r="D43" s="280"/>
      <c r="E43" s="280"/>
      <c r="F43" s="280"/>
      <c r="G43" s="280"/>
      <c r="H43" s="280"/>
      <c r="I43" s="280"/>
      <c r="J43" s="37">
        <f>'Stavební rozpočet'!H300</f>
        <v>0</v>
      </c>
      <c r="K43" s="37">
        <f>'Stavební rozpočet'!I300</f>
        <v>0</v>
      </c>
      <c r="L43" s="38">
        <f>'Stavební rozpočet'!J300</f>
        <v>0</v>
      </c>
      <c r="M43" s="36" t="s">
        <v>92</v>
      </c>
      <c r="N43" s="37">
        <f t="shared" si="0"/>
        <v>0</v>
      </c>
      <c r="O43" s="2" t="s">
        <v>89</v>
      </c>
      <c r="P43" s="37">
        <f t="shared" si="1"/>
        <v>0</v>
      </c>
    </row>
    <row r="44" spans="1:16" x14ac:dyDescent="0.25">
      <c r="A44" s="1" t="s">
        <v>153</v>
      </c>
      <c r="B44" s="280" t="s">
        <v>154</v>
      </c>
      <c r="C44" s="280"/>
      <c r="D44" s="280"/>
      <c r="E44" s="280"/>
      <c r="F44" s="280"/>
      <c r="G44" s="280"/>
      <c r="H44" s="280"/>
      <c r="I44" s="280"/>
      <c r="J44" s="37">
        <f>'Stavební rozpočet'!H306</f>
        <v>0</v>
      </c>
      <c r="K44" s="37">
        <f>'Stavební rozpočet'!I306</f>
        <v>0</v>
      </c>
      <c r="L44" s="38">
        <f>'Stavební rozpočet'!J306</f>
        <v>0</v>
      </c>
      <c r="M44" s="36" t="s">
        <v>92</v>
      </c>
      <c r="N44" s="37">
        <f t="shared" ref="N44:N62" si="2">IF(M44="F",0,L44)</f>
        <v>0</v>
      </c>
      <c r="O44" s="2" t="s">
        <v>89</v>
      </c>
      <c r="P44" s="37">
        <f t="shared" ref="P44:P62" si="3">IF(M44="T",0,L44)</f>
        <v>0</v>
      </c>
    </row>
    <row r="45" spans="1:16" x14ac:dyDescent="0.25">
      <c r="A45" s="1" t="s">
        <v>155</v>
      </c>
      <c r="B45" s="280" t="s">
        <v>156</v>
      </c>
      <c r="C45" s="280"/>
      <c r="D45" s="280"/>
      <c r="E45" s="280"/>
      <c r="F45" s="280"/>
      <c r="G45" s="280"/>
      <c r="H45" s="280"/>
      <c r="I45" s="280"/>
      <c r="J45" s="37">
        <f>'Stavební rozpočet'!H310</f>
        <v>0</v>
      </c>
      <c r="K45" s="37">
        <f>'Stavební rozpočet'!I310</f>
        <v>0</v>
      </c>
      <c r="L45" s="38">
        <f>'Stavební rozpočet'!J310</f>
        <v>0</v>
      </c>
      <c r="M45" s="36" t="s">
        <v>92</v>
      </c>
      <c r="N45" s="37">
        <f t="shared" si="2"/>
        <v>0</v>
      </c>
      <c r="O45" s="2" t="s">
        <v>89</v>
      </c>
      <c r="P45" s="37">
        <f t="shared" si="3"/>
        <v>0</v>
      </c>
    </row>
    <row r="46" spans="1:16" x14ac:dyDescent="0.25">
      <c r="A46" s="1" t="s">
        <v>157</v>
      </c>
      <c r="B46" s="280" t="s">
        <v>158</v>
      </c>
      <c r="C46" s="280"/>
      <c r="D46" s="280"/>
      <c r="E46" s="280"/>
      <c r="F46" s="280"/>
      <c r="G46" s="280"/>
      <c r="H46" s="280"/>
      <c r="I46" s="280"/>
      <c r="J46" s="37">
        <f>'Stavební rozpočet'!H317</f>
        <v>0</v>
      </c>
      <c r="K46" s="37">
        <f>'Stavební rozpočet'!I317</f>
        <v>0</v>
      </c>
      <c r="L46" s="38">
        <f>'Stavební rozpočet'!J317</f>
        <v>0</v>
      </c>
      <c r="M46" s="36" t="s">
        <v>92</v>
      </c>
      <c r="N46" s="37">
        <f t="shared" si="2"/>
        <v>0</v>
      </c>
      <c r="O46" s="2" t="s">
        <v>89</v>
      </c>
      <c r="P46" s="37">
        <f t="shared" si="3"/>
        <v>0</v>
      </c>
    </row>
    <row r="47" spans="1:16" x14ac:dyDescent="0.25">
      <c r="A47" s="1" t="s">
        <v>159</v>
      </c>
      <c r="B47" s="280" t="s">
        <v>160</v>
      </c>
      <c r="C47" s="280"/>
      <c r="D47" s="280"/>
      <c r="E47" s="280"/>
      <c r="F47" s="280"/>
      <c r="G47" s="280"/>
      <c r="H47" s="280"/>
      <c r="I47" s="280"/>
      <c r="J47" s="37">
        <f>'Stavební rozpočet'!H321</f>
        <v>0</v>
      </c>
      <c r="K47" s="37">
        <f>'Stavební rozpočet'!I321</f>
        <v>0</v>
      </c>
      <c r="L47" s="38">
        <f>'Stavební rozpočet'!J321</f>
        <v>0</v>
      </c>
      <c r="M47" s="36" t="s">
        <v>92</v>
      </c>
      <c r="N47" s="37">
        <f t="shared" si="2"/>
        <v>0</v>
      </c>
      <c r="O47" s="2" t="s">
        <v>89</v>
      </c>
      <c r="P47" s="37">
        <f t="shared" si="3"/>
        <v>0</v>
      </c>
    </row>
    <row r="48" spans="1:16" x14ac:dyDescent="0.25">
      <c r="A48" s="1" t="s">
        <v>161</v>
      </c>
      <c r="B48" s="280" t="s">
        <v>162</v>
      </c>
      <c r="C48" s="280"/>
      <c r="D48" s="280"/>
      <c r="E48" s="280"/>
      <c r="F48" s="280"/>
      <c r="G48" s="280"/>
      <c r="H48" s="280"/>
      <c r="I48" s="280"/>
      <c r="J48" s="37">
        <f>'Stavební rozpočet'!H328</f>
        <v>0</v>
      </c>
      <c r="K48" s="37">
        <f>'Stavební rozpočet'!I328</f>
        <v>0</v>
      </c>
      <c r="L48" s="38">
        <f>'Stavební rozpočet'!J328</f>
        <v>0</v>
      </c>
      <c r="M48" s="36" t="s">
        <v>92</v>
      </c>
      <c r="N48" s="37">
        <f t="shared" si="2"/>
        <v>0</v>
      </c>
      <c r="O48" s="2" t="s">
        <v>89</v>
      </c>
      <c r="P48" s="37">
        <f t="shared" si="3"/>
        <v>0</v>
      </c>
    </row>
    <row r="49" spans="1:16" x14ac:dyDescent="0.25">
      <c r="A49" s="1" t="s">
        <v>163</v>
      </c>
      <c r="B49" s="280" t="s">
        <v>164</v>
      </c>
      <c r="C49" s="280"/>
      <c r="D49" s="280"/>
      <c r="E49" s="280"/>
      <c r="F49" s="280"/>
      <c r="G49" s="280"/>
      <c r="H49" s="280"/>
      <c r="I49" s="280"/>
      <c r="J49" s="37">
        <f>'Stavební rozpočet'!H331</f>
        <v>0</v>
      </c>
      <c r="K49" s="37">
        <f>'Stavební rozpočet'!I331</f>
        <v>0</v>
      </c>
      <c r="L49" s="38">
        <f>'Stavební rozpočet'!J331</f>
        <v>0</v>
      </c>
      <c r="M49" s="36" t="s">
        <v>92</v>
      </c>
      <c r="N49" s="37">
        <f t="shared" si="2"/>
        <v>0</v>
      </c>
      <c r="O49" s="2" t="s">
        <v>89</v>
      </c>
      <c r="P49" s="37">
        <f t="shared" si="3"/>
        <v>0</v>
      </c>
    </row>
    <row r="50" spans="1:16" x14ac:dyDescent="0.25">
      <c r="A50" s="1" t="s">
        <v>165</v>
      </c>
      <c r="B50" s="280" t="s">
        <v>166</v>
      </c>
      <c r="C50" s="280"/>
      <c r="D50" s="280"/>
      <c r="E50" s="280"/>
      <c r="F50" s="280"/>
      <c r="G50" s="280"/>
      <c r="H50" s="280"/>
      <c r="I50" s="280"/>
      <c r="J50" s="37">
        <f>'Stavební rozpočet'!H335</f>
        <v>0</v>
      </c>
      <c r="K50" s="37">
        <f>'Stavební rozpočet'!I335</f>
        <v>0</v>
      </c>
      <c r="L50" s="38">
        <f>'Stavební rozpočet'!J335</f>
        <v>0</v>
      </c>
      <c r="M50" s="36" t="s">
        <v>92</v>
      </c>
      <c r="N50" s="37">
        <f t="shared" si="2"/>
        <v>0</v>
      </c>
      <c r="O50" s="2" t="s">
        <v>89</v>
      </c>
      <c r="P50" s="37">
        <f t="shared" si="3"/>
        <v>0</v>
      </c>
    </row>
    <row r="51" spans="1:16" x14ac:dyDescent="0.25">
      <c r="A51" s="1" t="s">
        <v>167</v>
      </c>
      <c r="B51" s="280" t="s">
        <v>168</v>
      </c>
      <c r="C51" s="280"/>
      <c r="D51" s="280"/>
      <c r="E51" s="280"/>
      <c r="F51" s="280"/>
      <c r="G51" s="280"/>
      <c r="H51" s="280"/>
      <c r="I51" s="280"/>
      <c r="J51" s="37">
        <f>'Stavební rozpočet'!H337</f>
        <v>0</v>
      </c>
      <c r="K51" s="37">
        <f>'Stavební rozpočet'!I337</f>
        <v>0</v>
      </c>
      <c r="L51" s="38">
        <f>'Stavební rozpočet'!J337</f>
        <v>0</v>
      </c>
      <c r="M51" s="36" t="s">
        <v>92</v>
      </c>
      <c r="N51" s="37">
        <f t="shared" si="2"/>
        <v>0</v>
      </c>
      <c r="O51" s="2" t="s">
        <v>89</v>
      </c>
      <c r="P51" s="37">
        <f t="shared" si="3"/>
        <v>0</v>
      </c>
    </row>
    <row r="52" spans="1:16" x14ac:dyDescent="0.25">
      <c r="A52" s="1" t="s">
        <v>169</v>
      </c>
      <c r="B52" s="280" t="s">
        <v>170</v>
      </c>
      <c r="C52" s="280"/>
      <c r="D52" s="280"/>
      <c r="E52" s="280"/>
      <c r="F52" s="280"/>
      <c r="G52" s="280"/>
      <c r="H52" s="280"/>
      <c r="I52" s="280"/>
      <c r="J52" s="37">
        <f>'Stavební rozpočet'!H342</f>
        <v>0</v>
      </c>
      <c r="K52" s="37">
        <f>'Stavební rozpočet'!I342</f>
        <v>0</v>
      </c>
      <c r="L52" s="38">
        <f>'Stavební rozpočet'!J342</f>
        <v>0</v>
      </c>
      <c r="M52" s="36" t="s">
        <v>92</v>
      </c>
      <c r="N52" s="37">
        <f t="shared" si="2"/>
        <v>0</v>
      </c>
      <c r="O52" s="2" t="s">
        <v>89</v>
      </c>
      <c r="P52" s="37">
        <f t="shared" si="3"/>
        <v>0</v>
      </c>
    </row>
    <row r="53" spans="1:16" x14ac:dyDescent="0.25">
      <c r="A53" s="1" t="s">
        <v>171</v>
      </c>
      <c r="B53" s="280" t="s">
        <v>172</v>
      </c>
      <c r="C53" s="280"/>
      <c r="D53" s="280"/>
      <c r="E53" s="280"/>
      <c r="F53" s="280"/>
      <c r="G53" s="280"/>
      <c r="H53" s="280"/>
      <c r="I53" s="280"/>
      <c r="J53" s="37">
        <f>'Stavební rozpočet'!H348</f>
        <v>0</v>
      </c>
      <c r="K53" s="37">
        <f>'Stavební rozpočet'!I348</f>
        <v>0</v>
      </c>
      <c r="L53" s="38">
        <f>'Stavební rozpočet'!J348</f>
        <v>0</v>
      </c>
      <c r="M53" s="36" t="s">
        <v>92</v>
      </c>
      <c r="N53" s="37">
        <f t="shared" si="2"/>
        <v>0</v>
      </c>
      <c r="O53" s="2" t="s">
        <v>89</v>
      </c>
      <c r="P53" s="37">
        <f t="shared" si="3"/>
        <v>0</v>
      </c>
    </row>
    <row r="54" spans="1:16" x14ac:dyDescent="0.25">
      <c r="A54" s="1" t="s">
        <v>173</v>
      </c>
      <c r="B54" s="280" t="s">
        <v>174</v>
      </c>
      <c r="C54" s="280"/>
      <c r="D54" s="280"/>
      <c r="E54" s="280"/>
      <c r="F54" s="280"/>
      <c r="G54" s="280"/>
      <c r="H54" s="280"/>
      <c r="I54" s="280"/>
      <c r="J54" s="37">
        <f>'Stavební rozpočet'!H353</f>
        <v>0</v>
      </c>
      <c r="K54" s="37">
        <f>'Stavební rozpočet'!I353</f>
        <v>0</v>
      </c>
      <c r="L54" s="38">
        <f>'Stavební rozpočet'!J353</f>
        <v>0</v>
      </c>
      <c r="M54" s="36" t="s">
        <v>92</v>
      </c>
      <c r="N54" s="37">
        <f t="shared" si="2"/>
        <v>0</v>
      </c>
      <c r="O54" s="2" t="s">
        <v>89</v>
      </c>
      <c r="P54" s="37">
        <f t="shared" si="3"/>
        <v>0</v>
      </c>
    </row>
    <row r="55" spans="1:16" x14ac:dyDescent="0.25">
      <c r="A55" s="1" t="s">
        <v>175</v>
      </c>
      <c r="B55" s="280" t="s">
        <v>176</v>
      </c>
      <c r="C55" s="280"/>
      <c r="D55" s="280"/>
      <c r="E55" s="280"/>
      <c r="F55" s="280"/>
      <c r="G55" s="280"/>
      <c r="H55" s="280"/>
      <c r="I55" s="280"/>
      <c r="J55" s="37">
        <f>'Stavební rozpočet'!H359</f>
        <v>0</v>
      </c>
      <c r="K55" s="37">
        <f>'Stavební rozpočet'!I359</f>
        <v>0</v>
      </c>
      <c r="L55" s="38">
        <f>'Stavební rozpočet'!J359</f>
        <v>0</v>
      </c>
      <c r="M55" s="36" t="s">
        <v>92</v>
      </c>
      <c r="N55" s="37">
        <f t="shared" si="2"/>
        <v>0</v>
      </c>
      <c r="O55" s="2" t="s">
        <v>89</v>
      </c>
      <c r="P55" s="37">
        <f t="shared" si="3"/>
        <v>0</v>
      </c>
    </row>
    <row r="56" spans="1:16" x14ac:dyDescent="0.25">
      <c r="A56" s="1" t="s">
        <v>177</v>
      </c>
      <c r="B56" s="280" t="s">
        <v>178</v>
      </c>
      <c r="C56" s="280"/>
      <c r="D56" s="280"/>
      <c r="E56" s="280"/>
      <c r="F56" s="280"/>
      <c r="G56" s="280"/>
      <c r="H56" s="280"/>
      <c r="I56" s="280"/>
      <c r="J56" s="37">
        <f>'Stavební rozpočet'!H366</f>
        <v>0</v>
      </c>
      <c r="K56" s="37">
        <f>'Stavební rozpočet'!I366</f>
        <v>0</v>
      </c>
      <c r="L56" s="38">
        <f>'Stavební rozpočet'!J366</f>
        <v>0</v>
      </c>
      <c r="M56" s="36" t="s">
        <v>92</v>
      </c>
      <c r="N56" s="37">
        <f t="shared" si="2"/>
        <v>0</v>
      </c>
      <c r="O56" s="2" t="s">
        <v>89</v>
      </c>
      <c r="P56" s="37">
        <f t="shared" si="3"/>
        <v>0</v>
      </c>
    </row>
    <row r="57" spans="1:16" x14ac:dyDescent="0.25">
      <c r="A57" s="1" t="s">
        <v>179</v>
      </c>
      <c r="B57" s="280" t="s">
        <v>180</v>
      </c>
      <c r="C57" s="280"/>
      <c r="D57" s="280"/>
      <c r="E57" s="280"/>
      <c r="F57" s="280"/>
      <c r="G57" s="280"/>
      <c r="H57" s="280"/>
      <c r="I57" s="280"/>
      <c r="J57" s="37">
        <f>'Stavební rozpočet'!H408</f>
        <v>0</v>
      </c>
      <c r="K57" s="37">
        <f>'Stavební rozpočet'!I408</f>
        <v>0</v>
      </c>
      <c r="L57" s="38">
        <f>'Stavební rozpočet'!J408</f>
        <v>0</v>
      </c>
      <c r="M57" s="36" t="s">
        <v>92</v>
      </c>
      <c r="N57" s="37">
        <f t="shared" si="2"/>
        <v>0</v>
      </c>
      <c r="O57" s="2" t="s">
        <v>89</v>
      </c>
      <c r="P57" s="37">
        <f t="shared" si="3"/>
        <v>0</v>
      </c>
    </row>
    <row r="58" spans="1:16" x14ac:dyDescent="0.25">
      <c r="A58" s="1" t="s">
        <v>181</v>
      </c>
      <c r="B58" s="280" t="s">
        <v>59</v>
      </c>
      <c r="C58" s="280"/>
      <c r="D58" s="280"/>
      <c r="E58" s="280"/>
      <c r="F58" s="280"/>
      <c r="G58" s="280"/>
      <c r="H58" s="280"/>
      <c r="I58" s="280"/>
      <c r="J58" s="37">
        <f>'Stavební rozpočet'!H410</f>
        <v>0</v>
      </c>
      <c r="K58" s="37">
        <f>'Stavební rozpočet'!I410</f>
        <v>0</v>
      </c>
      <c r="L58" s="38">
        <f>'Stavební rozpočet'!J410</f>
        <v>0</v>
      </c>
      <c r="M58" s="36" t="s">
        <v>88</v>
      </c>
      <c r="N58" s="37">
        <f t="shared" si="2"/>
        <v>0</v>
      </c>
      <c r="O58" s="2" t="s">
        <v>89</v>
      </c>
      <c r="P58" s="37">
        <f t="shared" si="3"/>
        <v>0</v>
      </c>
    </row>
    <row r="59" spans="1:16" x14ac:dyDescent="0.25">
      <c r="A59" s="1" t="s">
        <v>182</v>
      </c>
      <c r="B59" s="280" t="s">
        <v>70</v>
      </c>
      <c r="C59" s="280"/>
      <c r="D59" s="280"/>
      <c r="E59" s="280"/>
      <c r="F59" s="280"/>
      <c r="G59" s="280"/>
      <c r="H59" s="280"/>
      <c r="I59" s="280"/>
      <c r="J59" s="37">
        <f>'Stavební rozpočet'!H411</f>
        <v>0</v>
      </c>
      <c r="K59" s="37">
        <f>'Stavební rozpočet'!I411</f>
        <v>0</v>
      </c>
      <c r="L59" s="38">
        <f>'Stavební rozpočet'!J411</f>
        <v>0</v>
      </c>
      <c r="M59" s="36" t="s">
        <v>92</v>
      </c>
      <c r="N59" s="37">
        <f t="shared" si="2"/>
        <v>0</v>
      </c>
      <c r="O59" s="2" t="s">
        <v>89</v>
      </c>
      <c r="P59" s="37">
        <f t="shared" si="3"/>
        <v>0</v>
      </c>
    </row>
    <row r="60" spans="1:16" x14ac:dyDescent="0.25">
      <c r="A60" s="1" t="s">
        <v>183</v>
      </c>
      <c r="B60" s="280" t="s">
        <v>26</v>
      </c>
      <c r="C60" s="280"/>
      <c r="D60" s="280"/>
      <c r="E60" s="280"/>
      <c r="F60" s="280"/>
      <c r="G60" s="280"/>
      <c r="H60" s="280"/>
      <c r="I60" s="280"/>
      <c r="J60" s="37">
        <f>'Stavební rozpočet'!H414</f>
        <v>0</v>
      </c>
      <c r="K60" s="37">
        <f>'Stavební rozpočet'!I414</f>
        <v>0</v>
      </c>
      <c r="L60" s="38">
        <f>'Stavební rozpočet'!J414</f>
        <v>0</v>
      </c>
      <c r="M60" s="36" t="s">
        <v>92</v>
      </c>
      <c r="N60" s="37">
        <f t="shared" si="2"/>
        <v>0</v>
      </c>
      <c r="O60" s="2" t="s">
        <v>89</v>
      </c>
      <c r="P60" s="37">
        <f t="shared" si="3"/>
        <v>0</v>
      </c>
    </row>
    <row r="61" spans="1:16" x14ac:dyDescent="0.25">
      <c r="A61" s="1" t="s">
        <v>184</v>
      </c>
      <c r="B61" s="280" t="s">
        <v>72</v>
      </c>
      <c r="C61" s="280"/>
      <c r="D61" s="280"/>
      <c r="E61" s="280"/>
      <c r="F61" s="280"/>
      <c r="G61" s="280"/>
      <c r="H61" s="280"/>
      <c r="I61" s="280"/>
      <c r="J61" s="37">
        <f>'Stavební rozpočet'!H416</f>
        <v>0</v>
      </c>
      <c r="K61" s="37">
        <f>'Stavební rozpočet'!I416</f>
        <v>0</v>
      </c>
      <c r="L61" s="38">
        <f>'Stavební rozpočet'!J416</f>
        <v>0</v>
      </c>
      <c r="M61" s="36" t="s">
        <v>92</v>
      </c>
      <c r="N61" s="37">
        <f t="shared" si="2"/>
        <v>0</v>
      </c>
      <c r="O61" s="2" t="s">
        <v>89</v>
      </c>
      <c r="P61" s="37">
        <f t="shared" si="3"/>
        <v>0</v>
      </c>
    </row>
    <row r="62" spans="1:16" x14ac:dyDescent="0.25">
      <c r="A62" s="4" t="s">
        <v>185</v>
      </c>
      <c r="B62" s="316" t="s">
        <v>33</v>
      </c>
      <c r="C62" s="316"/>
      <c r="D62" s="316"/>
      <c r="E62" s="316"/>
      <c r="F62" s="316"/>
      <c r="G62" s="316"/>
      <c r="H62" s="316"/>
      <c r="I62" s="316"/>
      <c r="J62" s="39">
        <f>'Stavební rozpočet'!H418</f>
        <v>0</v>
      </c>
      <c r="K62" s="39">
        <f>'Stavební rozpočet'!I418</f>
        <v>0</v>
      </c>
      <c r="L62" s="40">
        <f>'Stavební rozpočet'!J418</f>
        <v>0</v>
      </c>
      <c r="M62" s="36" t="s">
        <v>92</v>
      </c>
      <c r="N62" s="37">
        <f t="shared" si="2"/>
        <v>0</v>
      </c>
      <c r="O62" s="2" t="s">
        <v>89</v>
      </c>
      <c r="P62" s="37">
        <f t="shared" si="3"/>
        <v>0</v>
      </c>
    </row>
    <row r="63" spans="1:16" x14ac:dyDescent="0.25">
      <c r="J63" s="350" t="s">
        <v>186</v>
      </c>
      <c r="K63" s="350"/>
      <c r="L63" s="41">
        <f>SUM(N12:N62)</f>
        <v>0</v>
      </c>
    </row>
    <row r="64" spans="1:16" x14ac:dyDescent="0.25">
      <c r="A64" s="42" t="s">
        <v>57</v>
      </c>
    </row>
    <row r="65" spans="1:12" ht="67.5" customHeight="1" x14ac:dyDescent="0.25">
      <c r="A65" s="279" t="s">
        <v>187</v>
      </c>
      <c r="B65" s="280"/>
      <c r="C65" s="280"/>
      <c r="D65" s="280"/>
      <c r="E65" s="280"/>
      <c r="F65" s="280"/>
      <c r="G65" s="280"/>
      <c r="H65" s="280"/>
      <c r="I65" s="280"/>
      <c r="J65" s="280"/>
      <c r="K65" s="280"/>
      <c r="L65" s="280"/>
    </row>
  </sheetData>
  <sheetProtection password="CC89" sheet="1"/>
  <mergeCells count="81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  <mergeCell ref="J2:L3"/>
    <mergeCell ref="J4:L5"/>
    <mergeCell ref="J6:L7"/>
    <mergeCell ref="J8:L9"/>
    <mergeCell ref="B10:I10"/>
    <mergeCell ref="H8:H9"/>
    <mergeCell ref="I2:I3"/>
    <mergeCell ref="I4:I5"/>
    <mergeCell ref="I6:I7"/>
    <mergeCell ref="I8:I9"/>
    <mergeCell ref="B11:I11"/>
    <mergeCell ref="J10:L10"/>
    <mergeCell ref="B12:I12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3:I53"/>
    <mergeCell ref="B54:I54"/>
    <mergeCell ref="B55:I55"/>
    <mergeCell ref="B56:I56"/>
    <mergeCell ref="B57:I57"/>
    <mergeCell ref="B58:I58"/>
    <mergeCell ref="B59:I59"/>
    <mergeCell ref="B60:I60"/>
    <mergeCell ref="B61:I61"/>
    <mergeCell ref="B62:I62"/>
    <mergeCell ref="J63:K63"/>
    <mergeCell ref="A65:L6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424"/>
  <sheetViews>
    <sheetView workbookViewId="0">
      <pane ySplit="11" topLeftCell="A405" activePane="bottomLeft" state="frozen"/>
      <selection pane="bottomLeft" activeCell="G410" sqref="G410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710937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321" t="s">
        <v>188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AS1" s="43">
        <f>SUM(AJ1:AJ2)</f>
        <v>0</v>
      </c>
      <c r="AT1" s="43">
        <f>SUM(AK1:AK2)</f>
        <v>0</v>
      </c>
      <c r="AU1" s="43">
        <f>SUM(AL1:AL2)</f>
        <v>0</v>
      </c>
    </row>
    <row r="2" spans="1:76" x14ac:dyDescent="0.25">
      <c r="A2" s="322" t="s">
        <v>1</v>
      </c>
      <c r="B2" s="323"/>
      <c r="C2" s="328" t="s">
        <v>189</v>
      </c>
      <c r="D2" s="329"/>
      <c r="E2" s="323" t="s">
        <v>79</v>
      </c>
      <c r="F2" s="323"/>
      <c r="G2" s="387" t="s">
        <v>81</v>
      </c>
      <c r="H2" s="319" t="s">
        <v>2</v>
      </c>
      <c r="I2" s="319" t="s">
        <v>190</v>
      </c>
      <c r="J2" s="323"/>
      <c r="K2" s="325"/>
    </row>
    <row r="3" spans="1:76" x14ac:dyDescent="0.25">
      <c r="A3" s="324"/>
      <c r="B3" s="280"/>
      <c r="C3" s="330"/>
      <c r="D3" s="330"/>
      <c r="E3" s="280"/>
      <c r="F3" s="280"/>
      <c r="G3" s="380"/>
      <c r="H3" s="280"/>
      <c r="I3" s="280"/>
      <c r="J3" s="280"/>
      <c r="K3" s="326"/>
    </row>
    <row r="4" spans="1:76" x14ac:dyDescent="0.25">
      <c r="A4" s="317" t="s">
        <v>5</v>
      </c>
      <c r="B4" s="280"/>
      <c r="C4" s="279" t="s">
        <v>81</v>
      </c>
      <c r="D4" s="280"/>
      <c r="E4" s="280" t="s">
        <v>10</v>
      </c>
      <c r="F4" s="280"/>
      <c r="G4" s="380" t="s">
        <v>191</v>
      </c>
      <c r="H4" s="279" t="s">
        <v>6</v>
      </c>
      <c r="I4" s="279" t="s">
        <v>192</v>
      </c>
      <c r="J4" s="280"/>
      <c r="K4" s="326"/>
    </row>
    <row r="5" spans="1:76" x14ac:dyDescent="0.25">
      <c r="A5" s="324"/>
      <c r="B5" s="280"/>
      <c r="C5" s="280"/>
      <c r="D5" s="280"/>
      <c r="E5" s="280"/>
      <c r="F5" s="280"/>
      <c r="G5" s="380"/>
      <c r="H5" s="280"/>
      <c r="I5" s="280"/>
      <c r="J5" s="280"/>
      <c r="K5" s="326"/>
    </row>
    <row r="6" spans="1:76" x14ac:dyDescent="0.25">
      <c r="A6" s="317" t="s">
        <v>8</v>
      </c>
      <c r="B6" s="280"/>
      <c r="C6" s="279" t="s">
        <v>193</v>
      </c>
      <c r="D6" s="280"/>
      <c r="E6" s="280" t="s">
        <v>11</v>
      </c>
      <c r="F6" s="280"/>
      <c r="G6" s="380" t="s">
        <v>81</v>
      </c>
      <c r="H6" s="279" t="s">
        <v>9</v>
      </c>
      <c r="I6" s="380" t="s">
        <v>194</v>
      </c>
      <c r="J6" s="380"/>
      <c r="K6" s="381"/>
    </row>
    <row r="7" spans="1:76" x14ac:dyDescent="0.25">
      <c r="A7" s="324"/>
      <c r="B7" s="280"/>
      <c r="C7" s="280"/>
      <c r="D7" s="280"/>
      <c r="E7" s="280"/>
      <c r="F7" s="280"/>
      <c r="G7" s="380"/>
      <c r="H7" s="280"/>
      <c r="I7" s="380"/>
      <c r="J7" s="380"/>
      <c r="K7" s="381"/>
    </row>
    <row r="8" spans="1:76" x14ac:dyDescent="0.25">
      <c r="A8" s="317" t="s">
        <v>13</v>
      </c>
      <c r="B8" s="280"/>
      <c r="C8" s="279" t="s">
        <v>81</v>
      </c>
      <c r="D8" s="280"/>
      <c r="E8" s="280" t="s">
        <v>80</v>
      </c>
      <c r="F8" s="280"/>
      <c r="G8" s="380" t="s">
        <v>191</v>
      </c>
      <c r="H8" s="279" t="s">
        <v>14</v>
      </c>
      <c r="I8" s="382" t="s">
        <v>195</v>
      </c>
      <c r="J8" s="380"/>
      <c r="K8" s="381"/>
    </row>
    <row r="9" spans="1:76" x14ac:dyDescent="0.25">
      <c r="A9" s="363"/>
      <c r="B9" s="358"/>
      <c r="C9" s="358"/>
      <c r="D9" s="358"/>
      <c r="E9" s="358"/>
      <c r="F9" s="358"/>
      <c r="G9" s="383"/>
      <c r="H9" s="358"/>
      <c r="I9" s="383"/>
      <c r="J9" s="383"/>
      <c r="K9" s="384"/>
    </row>
    <row r="10" spans="1:76" x14ac:dyDescent="0.25">
      <c r="A10" s="44" t="s">
        <v>196</v>
      </c>
      <c r="B10" s="45" t="s">
        <v>83</v>
      </c>
      <c r="C10" s="385" t="s">
        <v>84</v>
      </c>
      <c r="D10" s="386"/>
      <c r="E10" s="45" t="s">
        <v>197</v>
      </c>
      <c r="F10" s="46" t="s">
        <v>198</v>
      </c>
      <c r="G10" s="47" t="s">
        <v>199</v>
      </c>
      <c r="H10" s="354" t="s">
        <v>82</v>
      </c>
      <c r="I10" s="355"/>
      <c r="J10" s="356"/>
      <c r="K10" s="48" t="s">
        <v>200</v>
      </c>
      <c r="BK10" s="49" t="s">
        <v>201</v>
      </c>
      <c r="BL10" s="50" t="s">
        <v>202</v>
      </c>
      <c r="BW10" s="50" t="s">
        <v>203</v>
      </c>
    </row>
    <row r="11" spans="1:76" x14ac:dyDescent="0.25">
      <c r="A11" s="51" t="s">
        <v>81</v>
      </c>
      <c r="B11" s="52" t="s">
        <v>81</v>
      </c>
      <c r="C11" s="351" t="s">
        <v>204</v>
      </c>
      <c r="D11" s="373"/>
      <c r="E11" s="52" t="s">
        <v>81</v>
      </c>
      <c r="F11" s="52" t="s">
        <v>81</v>
      </c>
      <c r="G11" s="53" t="s">
        <v>205</v>
      </c>
      <c r="H11" s="30" t="s">
        <v>85</v>
      </c>
      <c r="I11" s="31" t="s">
        <v>27</v>
      </c>
      <c r="J11" s="32" t="s">
        <v>86</v>
      </c>
      <c r="K11" s="54" t="s">
        <v>206</v>
      </c>
      <c r="Z11" s="49" t="s">
        <v>207</v>
      </c>
      <c r="AA11" s="49" t="s">
        <v>208</v>
      </c>
      <c r="AB11" s="49" t="s">
        <v>209</v>
      </c>
      <c r="AC11" s="49" t="s">
        <v>210</v>
      </c>
      <c r="AD11" s="49" t="s">
        <v>211</v>
      </c>
      <c r="AE11" s="49" t="s">
        <v>212</v>
      </c>
      <c r="AF11" s="49" t="s">
        <v>213</v>
      </c>
      <c r="AG11" s="49" t="s">
        <v>214</v>
      </c>
      <c r="AH11" s="49" t="s">
        <v>215</v>
      </c>
      <c r="BH11" s="49" t="s">
        <v>216</v>
      </c>
      <c r="BI11" s="49" t="s">
        <v>217</v>
      </c>
      <c r="BJ11" s="49" t="s">
        <v>218</v>
      </c>
    </row>
    <row r="12" spans="1:76" x14ac:dyDescent="0.25">
      <c r="A12" s="55" t="s">
        <v>4</v>
      </c>
      <c r="B12" s="56" t="s">
        <v>4</v>
      </c>
      <c r="C12" s="374" t="s">
        <v>87</v>
      </c>
      <c r="D12" s="375"/>
      <c r="E12" s="57" t="s">
        <v>81</v>
      </c>
      <c r="F12" s="57" t="s">
        <v>81</v>
      </c>
      <c r="G12" s="58" t="s">
        <v>81</v>
      </c>
      <c r="H12" s="59">
        <f>H13+H21+H24+H29+H32+H34+H36+H38+H48+H50+H63+H69+H79+H86+H93+H102+H108+H118+H125+H131+H137+H149+H169+H178+H194+H227+H231+H238+H257+H293+H300+H306+H310+H317+H321+H328+H331+H335+H337+H342+H348+H353+H359+H366+H408+H411+H414+H416+H418</f>
        <v>0</v>
      </c>
      <c r="I12" s="59">
        <f>I13+I21+I24+I29+I32+I34+I36+I38+I48+I50+I63+I69+I79+I86+I93+I102+I108+I118+I125+I131+I137+I149+I169+I178+I194+I227+I231+I238+I257+I293+I300+I306+I310+I317+I321+I328+I331+I335+I337+I342+I348+I353+I359+I366+I408+I411+I414+I416+I418</f>
        <v>0</v>
      </c>
      <c r="J12" s="59">
        <f>J13+J21+J24+J29+J32+J34+J36+J38+J48+J50+J63+J69+J79+J86+J93+J102+J108+J118+J125+J131+J137+J149+J169+J178+J194+J227+J231+J238+J257+J293+J300+J306+J310+J317+J321+J328+J331+J335+J337+J342+J348+J353+J359+J366+J408+J411+J414+J416+J418</f>
        <v>0</v>
      </c>
      <c r="K12" s="60" t="s">
        <v>4</v>
      </c>
    </row>
    <row r="13" spans="1:76" x14ac:dyDescent="0.25">
      <c r="A13" s="61" t="s">
        <v>4</v>
      </c>
      <c r="B13" s="62" t="s">
        <v>90</v>
      </c>
      <c r="C13" s="376" t="s">
        <v>91</v>
      </c>
      <c r="D13" s="377"/>
      <c r="E13" s="63" t="s">
        <v>81</v>
      </c>
      <c r="F13" s="63" t="s">
        <v>81</v>
      </c>
      <c r="G13" s="64" t="s">
        <v>81</v>
      </c>
      <c r="H13" s="65">
        <f>SUM(H14:H20)</f>
        <v>0</v>
      </c>
      <c r="I13" s="65">
        <f>SUM(I14:I20)</f>
        <v>0</v>
      </c>
      <c r="J13" s="65">
        <f>SUM(J14:J20)</f>
        <v>0</v>
      </c>
      <c r="K13" s="66" t="s">
        <v>4</v>
      </c>
      <c r="AI13" s="49" t="s">
        <v>89</v>
      </c>
      <c r="AS13" s="43">
        <f>SUM(AJ14:AJ20)</f>
        <v>0</v>
      </c>
      <c r="AT13" s="43">
        <f>SUM(AK14:AK20)</f>
        <v>0</v>
      </c>
      <c r="AU13" s="43">
        <f>SUM(AL14:AL20)</f>
        <v>0</v>
      </c>
    </row>
    <row r="14" spans="1:76" x14ac:dyDescent="0.25">
      <c r="A14" s="67" t="s">
        <v>219</v>
      </c>
      <c r="B14" s="68" t="s">
        <v>220</v>
      </c>
      <c r="C14" s="378" t="s">
        <v>221</v>
      </c>
      <c r="D14" s="379"/>
      <c r="E14" s="68" t="s">
        <v>222</v>
      </c>
      <c r="F14" s="69">
        <v>30.577999999999999</v>
      </c>
      <c r="G14" s="70">
        <v>0</v>
      </c>
      <c r="H14" s="69">
        <f t="shared" ref="H14:H20" si="0">F14*AO14</f>
        <v>0</v>
      </c>
      <c r="I14" s="69">
        <f t="shared" ref="I14:I20" si="1">F14*AP14</f>
        <v>0</v>
      </c>
      <c r="J14" s="69">
        <f t="shared" ref="J14:J20" si="2">F14*G14</f>
        <v>0</v>
      </c>
      <c r="K14" s="71" t="s">
        <v>223</v>
      </c>
      <c r="Z14" s="37">
        <f t="shared" ref="Z14:Z20" si="3">IF(AQ14="5",BJ14,0)</f>
        <v>0</v>
      </c>
      <c r="AB14" s="37">
        <f t="shared" ref="AB14:AB20" si="4">IF(AQ14="1",BH14,0)</f>
        <v>0</v>
      </c>
      <c r="AC14" s="37">
        <f t="shared" ref="AC14:AC20" si="5">IF(AQ14="1",BI14,0)</f>
        <v>0</v>
      </c>
      <c r="AD14" s="37">
        <f t="shared" ref="AD14:AD20" si="6">IF(AQ14="7",BH14,0)</f>
        <v>0</v>
      </c>
      <c r="AE14" s="37">
        <f t="shared" ref="AE14:AE20" si="7">IF(AQ14="7",BI14,0)</f>
        <v>0</v>
      </c>
      <c r="AF14" s="37">
        <f t="shared" ref="AF14:AF20" si="8">IF(AQ14="2",BH14,0)</f>
        <v>0</v>
      </c>
      <c r="AG14" s="37">
        <f t="shared" ref="AG14:AG20" si="9">IF(AQ14="2",BI14,0)</f>
        <v>0</v>
      </c>
      <c r="AH14" s="37">
        <f t="shared" ref="AH14:AH20" si="10">IF(AQ14="0",BJ14,0)</f>
        <v>0</v>
      </c>
      <c r="AI14" s="49" t="s">
        <v>89</v>
      </c>
      <c r="AJ14" s="37">
        <f t="shared" ref="AJ14:AJ20" si="11">IF(AN14=0,J14,0)</f>
        <v>0</v>
      </c>
      <c r="AK14" s="37">
        <f t="shared" ref="AK14:AK20" si="12">IF(AN14=12,J14,0)</f>
        <v>0</v>
      </c>
      <c r="AL14" s="37">
        <f t="shared" ref="AL14:AL20" si="13">IF(AN14=21,J14,0)</f>
        <v>0</v>
      </c>
      <c r="AN14" s="37">
        <v>21</v>
      </c>
      <c r="AO14" s="37">
        <f t="shared" ref="AO14:AO20" si="14">G14*0</f>
        <v>0</v>
      </c>
      <c r="AP14" s="37">
        <f t="shared" ref="AP14:AP20" si="15">G14*(1-0)</f>
        <v>0</v>
      </c>
      <c r="AQ14" s="72" t="s">
        <v>219</v>
      </c>
      <c r="AV14" s="37">
        <f t="shared" ref="AV14:AV20" si="16">AW14+AX14</f>
        <v>0</v>
      </c>
      <c r="AW14" s="37">
        <f t="shared" ref="AW14:AW20" si="17">F14*AO14</f>
        <v>0</v>
      </c>
      <c r="AX14" s="37">
        <f t="shared" ref="AX14:AX20" si="18">F14*AP14</f>
        <v>0</v>
      </c>
      <c r="AY14" s="72" t="s">
        <v>224</v>
      </c>
      <c r="AZ14" s="72" t="s">
        <v>225</v>
      </c>
      <c r="BA14" s="49" t="s">
        <v>226</v>
      </c>
      <c r="BC14" s="37">
        <f t="shared" ref="BC14:BC20" si="19">AW14+AX14</f>
        <v>0</v>
      </c>
      <c r="BD14" s="37">
        <f t="shared" ref="BD14:BD20" si="20">G14/(100-BE14)*100</f>
        <v>0</v>
      </c>
      <c r="BE14" s="37">
        <v>0</v>
      </c>
      <c r="BF14" s="37">
        <f>14</f>
        <v>14</v>
      </c>
      <c r="BH14" s="37">
        <f t="shared" ref="BH14:BH20" si="21">F14*AO14</f>
        <v>0</v>
      </c>
      <c r="BI14" s="37">
        <f t="shared" ref="BI14:BI20" si="22">F14*AP14</f>
        <v>0</v>
      </c>
      <c r="BJ14" s="37">
        <f t="shared" ref="BJ14:BJ20" si="23">F14*G14</f>
        <v>0</v>
      </c>
      <c r="BK14" s="37"/>
      <c r="BL14" s="37">
        <v>13</v>
      </c>
      <c r="BW14" s="37">
        <v>21</v>
      </c>
      <c r="BX14" s="3" t="s">
        <v>221</v>
      </c>
    </row>
    <row r="15" spans="1:76" x14ac:dyDescent="0.25">
      <c r="A15" s="73" t="s">
        <v>227</v>
      </c>
      <c r="B15" s="74" t="s">
        <v>228</v>
      </c>
      <c r="C15" s="371" t="s">
        <v>229</v>
      </c>
      <c r="D15" s="372"/>
      <c r="E15" s="74" t="s">
        <v>222</v>
      </c>
      <c r="F15" s="75">
        <v>13.433999999999999</v>
      </c>
      <c r="G15" s="76">
        <v>0</v>
      </c>
      <c r="H15" s="75">
        <f t="shared" si="0"/>
        <v>0</v>
      </c>
      <c r="I15" s="75">
        <f t="shared" si="1"/>
        <v>0</v>
      </c>
      <c r="J15" s="75">
        <f t="shared" si="2"/>
        <v>0</v>
      </c>
      <c r="K15" s="77" t="s">
        <v>223</v>
      </c>
      <c r="Z15" s="37">
        <f t="shared" si="3"/>
        <v>0</v>
      </c>
      <c r="AB15" s="37">
        <f t="shared" si="4"/>
        <v>0</v>
      </c>
      <c r="AC15" s="37">
        <f t="shared" si="5"/>
        <v>0</v>
      </c>
      <c r="AD15" s="37">
        <f t="shared" si="6"/>
        <v>0</v>
      </c>
      <c r="AE15" s="37">
        <f t="shared" si="7"/>
        <v>0</v>
      </c>
      <c r="AF15" s="37">
        <f t="shared" si="8"/>
        <v>0</v>
      </c>
      <c r="AG15" s="37">
        <f t="shared" si="9"/>
        <v>0</v>
      </c>
      <c r="AH15" s="37">
        <f t="shared" si="10"/>
        <v>0</v>
      </c>
      <c r="AI15" s="49" t="s">
        <v>89</v>
      </c>
      <c r="AJ15" s="37">
        <f t="shared" si="11"/>
        <v>0</v>
      </c>
      <c r="AK15" s="37">
        <f t="shared" si="12"/>
        <v>0</v>
      </c>
      <c r="AL15" s="37">
        <f t="shared" si="13"/>
        <v>0</v>
      </c>
      <c r="AN15" s="37">
        <v>21</v>
      </c>
      <c r="AO15" s="37">
        <f t="shared" si="14"/>
        <v>0</v>
      </c>
      <c r="AP15" s="37">
        <f t="shared" si="15"/>
        <v>0</v>
      </c>
      <c r="AQ15" s="72" t="s">
        <v>219</v>
      </c>
      <c r="AV15" s="37">
        <f t="shared" si="16"/>
        <v>0</v>
      </c>
      <c r="AW15" s="37">
        <f t="shared" si="17"/>
        <v>0</v>
      </c>
      <c r="AX15" s="37">
        <f t="shared" si="18"/>
        <v>0</v>
      </c>
      <c r="AY15" s="72" t="s">
        <v>224</v>
      </c>
      <c r="AZ15" s="72" t="s">
        <v>225</v>
      </c>
      <c r="BA15" s="49" t="s">
        <v>226</v>
      </c>
      <c r="BC15" s="37">
        <f t="shared" si="19"/>
        <v>0</v>
      </c>
      <c r="BD15" s="37">
        <f t="shared" si="20"/>
        <v>0</v>
      </c>
      <c r="BE15" s="37">
        <v>0</v>
      </c>
      <c r="BF15" s="37">
        <f>15</f>
        <v>15</v>
      </c>
      <c r="BH15" s="37">
        <f t="shared" si="21"/>
        <v>0</v>
      </c>
      <c r="BI15" s="37">
        <f t="shared" si="22"/>
        <v>0</v>
      </c>
      <c r="BJ15" s="37">
        <f t="shared" si="23"/>
        <v>0</v>
      </c>
      <c r="BK15" s="37"/>
      <c r="BL15" s="37">
        <v>13</v>
      </c>
      <c r="BW15" s="37">
        <v>21</v>
      </c>
      <c r="BX15" s="3" t="s">
        <v>229</v>
      </c>
    </row>
    <row r="16" spans="1:76" x14ac:dyDescent="0.25">
      <c r="A16" s="1" t="s">
        <v>230</v>
      </c>
      <c r="B16" s="2" t="s">
        <v>231</v>
      </c>
      <c r="C16" s="279" t="s">
        <v>232</v>
      </c>
      <c r="D16" s="280"/>
      <c r="E16" s="2" t="s">
        <v>222</v>
      </c>
      <c r="F16" s="37">
        <v>6.7169999999999996</v>
      </c>
      <c r="G16" s="78">
        <v>0</v>
      </c>
      <c r="H16" s="37">
        <f t="shared" si="0"/>
        <v>0</v>
      </c>
      <c r="I16" s="37">
        <f t="shared" si="1"/>
        <v>0</v>
      </c>
      <c r="J16" s="37">
        <f t="shared" si="2"/>
        <v>0</v>
      </c>
      <c r="K16" s="79" t="s">
        <v>223</v>
      </c>
      <c r="Z16" s="37">
        <f t="shared" si="3"/>
        <v>0</v>
      </c>
      <c r="AB16" s="37">
        <f t="shared" si="4"/>
        <v>0</v>
      </c>
      <c r="AC16" s="37">
        <f t="shared" si="5"/>
        <v>0</v>
      </c>
      <c r="AD16" s="37">
        <f t="shared" si="6"/>
        <v>0</v>
      </c>
      <c r="AE16" s="37">
        <f t="shared" si="7"/>
        <v>0</v>
      </c>
      <c r="AF16" s="37">
        <f t="shared" si="8"/>
        <v>0</v>
      </c>
      <c r="AG16" s="37">
        <f t="shared" si="9"/>
        <v>0</v>
      </c>
      <c r="AH16" s="37">
        <f t="shared" si="10"/>
        <v>0</v>
      </c>
      <c r="AI16" s="49" t="s">
        <v>89</v>
      </c>
      <c r="AJ16" s="37">
        <f t="shared" si="11"/>
        <v>0</v>
      </c>
      <c r="AK16" s="37">
        <f t="shared" si="12"/>
        <v>0</v>
      </c>
      <c r="AL16" s="37">
        <f t="shared" si="13"/>
        <v>0</v>
      </c>
      <c r="AN16" s="37">
        <v>21</v>
      </c>
      <c r="AO16" s="37">
        <f t="shared" si="14"/>
        <v>0</v>
      </c>
      <c r="AP16" s="37">
        <f t="shared" si="15"/>
        <v>0</v>
      </c>
      <c r="AQ16" s="72" t="s">
        <v>219</v>
      </c>
      <c r="AV16" s="37">
        <f t="shared" si="16"/>
        <v>0</v>
      </c>
      <c r="AW16" s="37">
        <f t="shared" si="17"/>
        <v>0</v>
      </c>
      <c r="AX16" s="37">
        <f t="shared" si="18"/>
        <v>0</v>
      </c>
      <c r="AY16" s="72" t="s">
        <v>224</v>
      </c>
      <c r="AZ16" s="72" t="s">
        <v>225</v>
      </c>
      <c r="BA16" s="49" t="s">
        <v>226</v>
      </c>
      <c r="BC16" s="37">
        <f t="shared" si="19"/>
        <v>0</v>
      </c>
      <c r="BD16" s="37">
        <f t="shared" si="20"/>
        <v>0</v>
      </c>
      <c r="BE16" s="37">
        <v>0</v>
      </c>
      <c r="BF16" s="37">
        <f>16</f>
        <v>16</v>
      </c>
      <c r="BH16" s="37">
        <f t="shared" si="21"/>
        <v>0</v>
      </c>
      <c r="BI16" s="37">
        <f t="shared" si="22"/>
        <v>0</v>
      </c>
      <c r="BJ16" s="37">
        <f t="shared" si="23"/>
        <v>0</v>
      </c>
      <c r="BK16" s="37"/>
      <c r="BL16" s="37">
        <v>13</v>
      </c>
      <c r="BW16" s="37">
        <v>21</v>
      </c>
      <c r="BX16" s="3" t="s">
        <v>232</v>
      </c>
    </row>
    <row r="17" spans="1:76" x14ac:dyDescent="0.25">
      <c r="A17" s="1" t="s">
        <v>233</v>
      </c>
      <c r="B17" s="2" t="s">
        <v>234</v>
      </c>
      <c r="C17" s="279" t="s">
        <v>235</v>
      </c>
      <c r="D17" s="280"/>
      <c r="E17" s="2" t="s">
        <v>222</v>
      </c>
      <c r="F17" s="37">
        <v>43.254899999999999</v>
      </c>
      <c r="G17" s="78">
        <v>0</v>
      </c>
      <c r="H17" s="37">
        <f t="shared" si="0"/>
        <v>0</v>
      </c>
      <c r="I17" s="37">
        <f t="shared" si="1"/>
        <v>0</v>
      </c>
      <c r="J17" s="37">
        <f t="shared" si="2"/>
        <v>0</v>
      </c>
      <c r="K17" s="79" t="s">
        <v>236</v>
      </c>
      <c r="Z17" s="37">
        <f t="shared" si="3"/>
        <v>0</v>
      </c>
      <c r="AB17" s="37">
        <f t="shared" si="4"/>
        <v>0</v>
      </c>
      <c r="AC17" s="37">
        <f t="shared" si="5"/>
        <v>0</v>
      </c>
      <c r="AD17" s="37">
        <f t="shared" si="6"/>
        <v>0</v>
      </c>
      <c r="AE17" s="37">
        <f t="shared" si="7"/>
        <v>0</v>
      </c>
      <c r="AF17" s="37">
        <f t="shared" si="8"/>
        <v>0</v>
      </c>
      <c r="AG17" s="37">
        <f t="shared" si="9"/>
        <v>0</v>
      </c>
      <c r="AH17" s="37">
        <f t="shared" si="10"/>
        <v>0</v>
      </c>
      <c r="AI17" s="49" t="s">
        <v>89</v>
      </c>
      <c r="AJ17" s="37">
        <f t="shared" si="11"/>
        <v>0</v>
      </c>
      <c r="AK17" s="37">
        <f t="shared" si="12"/>
        <v>0</v>
      </c>
      <c r="AL17" s="37">
        <f t="shared" si="13"/>
        <v>0</v>
      </c>
      <c r="AN17" s="37">
        <v>21</v>
      </c>
      <c r="AO17" s="37">
        <f t="shared" si="14"/>
        <v>0</v>
      </c>
      <c r="AP17" s="37">
        <f t="shared" si="15"/>
        <v>0</v>
      </c>
      <c r="AQ17" s="72" t="s">
        <v>219</v>
      </c>
      <c r="AV17" s="37">
        <f t="shared" si="16"/>
        <v>0</v>
      </c>
      <c r="AW17" s="37">
        <f t="shared" si="17"/>
        <v>0</v>
      </c>
      <c r="AX17" s="37">
        <f t="shared" si="18"/>
        <v>0</v>
      </c>
      <c r="AY17" s="72" t="s">
        <v>224</v>
      </c>
      <c r="AZ17" s="72" t="s">
        <v>225</v>
      </c>
      <c r="BA17" s="49" t="s">
        <v>226</v>
      </c>
      <c r="BC17" s="37">
        <f t="shared" si="19"/>
        <v>0</v>
      </c>
      <c r="BD17" s="37">
        <f t="shared" si="20"/>
        <v>0</v>
      </c>
      <c r="BE17" s="37">
        <v>0</v>
      </c>
      <c r="BF17" s="37">
        <f>17</f>
        <v>17</v>
      </c>
      <c r="BH17" s="37">
        <f t="shared" si="21"/>
        <v>0</v>
      </c>
      <c r="BI17" s="37">
        <f t="shared" si="22"/>
        <v>0</v>
      </c>
      <c r="BJ17" s="37">
        <f t="shared" si="23"/>
        <v>0</v>
      </c>
      <c r="BK17" s="37"/>
      <c r="BL17" s="37">
        <v>13</v>
      </c>
      <c r="BW17" s="37">
        <v>21</v>
      </c>
      <c r="BX17" s="3" t="s">
        <v>235</v>
      </c>
    </row>
    <row r="18" spans="1:76" x14ac:dyDescent="0.25">
      <c r="A18" s="1" t="s">
        <v>237</v>
      </c>
      <c r="B18" s="2" t="s">
        <v>238</v>
      </c>
      <c r="C18" s="279" t="s">
        <v>239</v>
      </c>
      <c r="D18" s="280"/>
      <c r="E18" s="2" t="s">
        <v>222</v>
      </c>
      <c r="F18" s="37">
        <v>21.62745</v>
      </c>
      <c r="G18" s="78">
        <v>0</v>
      </c>
      <c r="H18" s="37">
        <f t="shared" si="0"/>
        <v>0</v>
      </c>
      <c r="I18" s="37">
        <f t="shared" si="1"/>
        <v>0</v>
      </c>
      <c r="J18" s="37">
        <f t="shared" si="2"/>
        <v>0</v>
      </c>
      <c r="K18" s="79" t="s">
        <v>236</v>
      </c>
      <c r="Z18" s="37">
        <f t="shared" si="3"/>
        <v>0</v>
      </c>
      <c r="AB18" s="37">
        <f t="shared" si="4"/>
        <v>0</v>
      </c>
      <c r="AC18" s="37">
        <f t="shared" si="5"/>
        <v>0</v>
      </c>
      <c r="AD18" s="37">
        <f t="shared" si="6"/>
        <v>0</v>
      </c>
      <c r="AE18" s="37">
        <f t="shared" si="7"/>
        <v>0</v>
      </c>
      <c r="AF18" s="37">
        <f t="shared" si="8"/>
        <v>0</v>
      </c>
      <c r="AG18" s="37">
        <f t="shared" si="9"/>
        <v>0</v>
      </c>
      <c r="AH18" s="37">
        <f t="shared" si="10"/>
        <v>0</v>
      </c>
      <c r="AI18" s="49" t="s">
        <v>89</v>
      </c>
      <c r="AJ18" s="37">
        <f t="shared" si="11"/>
        <v>0</v>
      </c>
      <c r="AK18" s="37">
        <f t="shared" si="12"/>
        <v>0</v>
      </c>
      <c r="AL18" s="37">
        <f t="shared" si="13"/>
        <v>0</v>
      </c>
      <c r="AN18" s="37">
        <v>21</v>
      </c>
      <c r="AO18" s="37">
        <f t="shared" si="14"/>
        <v>0</v>
      </c>
      <c r="AP18" s="37">
        <f t="shared" si="15"/>
        <v>0</v>
      </c>
      <c r="AQ18" s="72" t="s">
        <v>219</v>
      </c>
      <c r="AV18" s="37">
        <f t="shared" si="16"/>
        <v>0</v>
      </c>
      <c r="AW18" s="37">
        <f t="shared" si="17"/>
        <v>0</v>
      </c>
      <c r="AX18" s="37">
        <f t="shared" si="18"/>
        <v>0</v>
      </c>
      <c r="AY18" s="72" t="s">
        <v>224</v>
      </c>
      <c r="AZ18" s="72" t="s">
        <v>225</v>
      </c>
      <c r="BA18" s="49" t="s">
        <v>226</v>
      </c>
      <c r="BC18" s="37">
        <f t="shared" si="19"/>
        <v>0</v>
      </c>
      <c r="BD18" s="37">
        <f t="shared" si="20"/>
        <v>0</v>
      </c>
      <c r="BE18" s="37">
        <v>0</v>
      </c>
      <c r="BF18" s="37">
        <f>18</f>
        <v>18</v>
      </c>
      <c r="BH18" s="37">
        <f t="shared" si="21"/>
        <v>0</v>
      </c>
      <c r="BI18" s="37">
        <f t="shared" si="22"/>
        <v>0</v>
      </c>
      <c r="BJ18" s="37">
        <f t="shared" si="23"/>
        <v>0</v>
      </c>
      <c r="BK18" s="37"/>
      <c r="BL18" s="37">
        <v>13</v>
      </c>
      <c r="BW18" s="37">
        <v>21</v>
      </c>
      <c r="BX18" s="3" t="s">
        <v>239</v>
      </c>
    </row>
    <row r="19" spans="1:76" x14ac:dyDescent="0.25">
      <c r="A19" s="1" t="s">
        <v>240</v>
      </c>
      <c r="B19" s="2" t="s">
        <v>241</v>
      </c>
      <c r="C19" s="279" t="s">
        <v>242</v>
      </c>
      <c r="D19" s="280"/>
      <c r="E19" s="2" t="s">
        <v>222</v>
      </c>
      <c r="F19" s="37">
        <v>4.2529300000000001</v>
      </c>
      <c r="G19" s="78">
        <v>0</v>
      </c>
      <c r="H19" s="37">
        <f t="shared" si="0"/>
        <v>0</v>
      </c>
      <c r="I19" s="37">
        <f t="shared" si="1"/>
        <v>0</v>
      </c>
      <c r="J19" s="37">
        <f t="shared" si="2"/>
        <v>0</v>
      </c>
      <c r="K19" s="79" t="s">
        <v>223</v>
      </c>
      <c r="Z19" s="37">
        <f t="shared" si="3"/>
        <v>0</v>
      </c>
      <c r="AB19" s="37">
        <f t="shared" si="4"/>
        <v>0</v>
      </c>
      <c r="AC19" s="37">
        <f t="shared" si="5"/>
        <v>0</v>
      </c>
      <c r="AD19" s="37">
        <f t="shared" si="6"/>
        <v>0</v>
      </c>
      <c r="AE19" s="37">
        <f t="shared" si="7"/>
        <v>0</v>
      </c>
      <c r="AF19" s="37">
        <f t="shared" si="8"/>
        <v>0</v>
      </c>
      <c r="AG19" s="37">
        <f t="shared" si="9"/>
        <v>0</v>
      </c>
      <c r="AH19" s="37">
        <f t="shared" si="10"/>
        <v>0</v>
      </c>
      <c r="AI19" s="49" t="s">
        <v>89</v>
      </c>
      <c r="AJ19" s="37">
        <f t="shared" si="11"/>
        <v>0</v>
      </c>
      <c r="AK19" s="37">
        <f t="shared" si="12"/>
        <v>0</v>
      </c>
      <c r="AL19" s="37">
        <f t="shared" si="13"/>
        <v>0</v>
      </c>
      <c r="AN19" s="37">
        <v>21</v>
      </c>
      <c r="AO19" s="37">
        <f t="shared" si="14"/>
        <v>0</v>
      </c>
      <c r="AP19" s="37">
        <f t="shared" si="15"/>
        <v>0</v>
      </c>
      <c r="AQ19" s="72" t="s">
        <v>219</v>
      </c>
      <c r="AV19" s="37">
        <f t="shared" si="16"/>
        <v>0</v>
      </c>
      <c r="AW19" s="37">
        <f t="shared" si="17"/>
        <v>0</v>
      </c>
      <c r="AX19" s="37">
        <f t="shared" si="18"/>
        <v>0</v>
      </c>
      <c r="AY19" s="72" t="s">
        <v>224</v>
      </c>
      <c r="AZ19" s="72" t="s">
        <v>225</v>
      </c>
      <c r="BA19" s="49" t="s">
        <v>226</v>
      </c>
      <c r="BC19" s="37">
        <f t="shared" si="19"/>
        <v>0</v>
      </c>
      <c r="BD19" s="37">
        <f t="shared" si="20"/>
        <v>0</v>
      </c>
      <c r="BE19" s="37">
        <v>0</v>
      </c>
      <c r="BF19" s="37">
        <f>19</f>
        <v>19</v>
      </c>
      <c r="BH19" s="37">
        <f t="shared" si="21"/>
        <v>0</v>
      </c>
      <c r="BI19" s="37">
        <f t="shared" si="22"/>
        <v>0</v>
      </c>
      <c r="BJ19" s="37">
        <f t="shared" si="23"/>
        <v>0</v>
      </c>
      <c r="BK19" s="37"/>
      <c r="BL19" s="37">
        <v>13</v>
      </c>
      <c r="BW19" s="37">
        <v>21</v>
      </c>
      <c r="BX19" s="3" t="s">
        <v>242</v>
      </c>
    </row>
    <row r="20" spans="1:76" x14ac:dyDescent="0.25">
      <c r="A20" s="1" t="s">
        <v>243</v>
      </c>
      <c r="B20" s="2" t="s">
        <v>244</v>
      </c>
      <c r="C20" s="279" t="s">
        <v>245</v>
      </c>
      <c r="D20" s="280"/>
      <c r="E20" s="2" t="s">
        <v>222</v>
      </c>
      <c r="F20" s="37">
        <v>2.1264699999999999</v>
      </c>
      <c r="G20" s="78">
        <v>0</v>
      </c>
      <c r="H20" s="37">
        <f t="shared" si="0"/>
        <v>0</v>
      </c>
      <c r="I20" s="37">
        <f t="shared" si="1"/>
        <v>0</v>
      </c>
      <c r="J20" s="37">
        <f t="shared" si="2"/>
        <v>0</v>
      </c>
      <c r="K20" s="79" t="s">
        <v>223</v>
      </c>
      <c r="Z20" s="37">
        <f t="shared" si="3"/>
        <v>0</v>
      </c>
      <c r="AB20" s="37">
        <f t="shared" si="4"/>
        <v>0</v>
      </c>
      <c r="AC20" s="37">
        <f t="shared" si="5"/>
        <v>0</v>
      </c>
      <c r="AD20" s="37">
        <f t="shared" si="6"/>
        <v>0</v>
      </c>
      <c r="AE20" s="37">
        <f t="shared" si="7"/>
        <v>0</v>
      </c>
      <c r="AF20" s="37">
        <f t="shared" si="8"/>
        <v>0</v>
      </c>
      <c r="AG20" s="37">
        <f t="shared" si="9"/>
        <v>0</v>
      </c>
      <c r="AH20" s="37">
        <f t="shared" si="10"/>
        <v>0</v>
      </c>
      <c r="AI20" s="49" t="s">
        <v>89</v>
      </c>
      <c r="AJ20" s="37">
        <f t="shared" si="11"/>
        <v>0</v>
      </c>
      <c r="AK20" s="37">
        <f t="shared" si="12"/>
        <v>0</v>
      </c>
      <c r="AL20" s="37">
        <f t="shared" si="13"/>
        <v>0</v>
      </c>
      <c r="AN20" s="37">
        <v>21</v>
      </c>
      <c r="AO20" s="37">
        <f t="shared" si="14"/>
        <v>0</v>
      </c>
      <c r="AP20" s="37">
        <f t="shared" si="15"/>
        <v>0</v>
      </c>
      <c r="AQ20" s="72" t="s">
        <v>219</v>
      </c>
      <c r="AV20" s="37">
        <f t="shared" si="16"/>
        <v>0</v>
      </c>
      <c r="AW20" s="37">
        <f t="shared" si="17"/>
        <v>0</v>
      </c>
      <c r="AX20" s="37">
        <f t="shared" si="18"/>
        <v>0</v>
      </c>
      <c r="AY20" s="72" t="s">
        <v>224</v>
      </c>
      <c r="AZ20" s="72" t="s">
        <v>225</v>
      </c>
      <c r="BA20" s="49" t="s">
        <v>226</v>
      </c>
      <c r="BC20" s="37">
        <f t="shared" si="19"/>
        <v>0</v>
      </c>
      <c r="BD20" s="37">
        <f t="shared" si="20"/>
        <v>0</v>
      </c>
      <c r="BE20" s="37">
        <v>0</v>
      </c>
      <c r="BF20" s="37">
        <f>20</f>
        <v>20</v>
      </c>
      <c r="BH20" s="37">
        <f t="shared" si="21"/>
        <v>0</v>
      </c>
      <c r="BI20" s="37">
        <f t="shared" si="22"/>
        <v>0</v>
      </c>
      <c r="BJ20" s="37">
        <f t="shared" si="23"/>
        <v>0</v>
      </c>
      <c r="BK20" s="37"/>
      <c r="BL20" s="37">
        <v>13</v>
      </c>
      <c r="BW20" s="37">
        <v>21</v>
      </c>
      <c r="BX20" s="3" t="s">
        <v>245</v>
      </c>
    </row>
    <row r="21" spans="1:76" x14ac:dyDescent="0.25">
      <c r="A21" s="80" t="s">
        <v>4</v>
      </c>
      <c r="B21" s="81" t="s">
        <v>93</v>
      </c>
      <c r="C21" s="365" t="s">
        <v>94</v>
      </c>
      <c r="D21" s="366"/>
      <c r="E21" s="82" t="s">
        <v>81</v>
      </c>
      <c r="F21" s="82" t="s">
        <v>81</v>
      </c>
      <c r="G21" s="83" t="s">
        <v>81</v>
      </c>
      <c r="H21" s="43">
        <f>SUM(H22:H23)</f>
        <v>0</v>
      </c>
      <c r="I21" s="43">
        <f>SUM(I22:I23)</f>
        <v>0</v>
      </c>
      <c r="J21" s="43">
        <f>SUM(J22:J23)</f>
        <v>0</v>
      </c>
      <c r="K21" s="84" t="s">
        <v>4</v>
      </c>
      <c r="AI21" s="49" t="s">
        <v>89</v>
      </c>
      <c r="AS21" s="43">
        <f>SUM(AJ22:AJ23)</f>
        <v>0</v>
      </c>
      <c r="AT21" s="43">
        <f>SUM(AK22:AK23)</f>
        <v>0</v>
      </c>
      <c r="AU21" s="43">
        <f>SUM(AL22:AL23)</f>
        <v>0</v>
      </c>
    </row>
    <row r="22" spans="1:76" x14ac:dyDescent="0.25">
      <c r="A22" s="1" t="s">
        <v>246</v>
      </c>
      <c r="B22" s="2" t="s">
        <v>247</v>
      </c>
      <c r="C22" s="279" t="s">
        <v>248</v>
      </c>
      <c r="D22" s="280"/>
      <c r="E22" s="2" t="s">
        <v>249</v>
      </c>
      <c r="F22" s="37">
        <v>16.2</v>
      </c>
      <c r="G22" s="78">
        <v>0</v>
      </c>
      <c r="H22" s="37">
        <f>F22*AO22</f>
        <v>0</v>
      </c>
      <c r="I22" s="37">
        <f>F22*AP22</f>
        <v>0</v>
      </c>
      <c r="J22" s="37">
        <f>F22*G22</f>
        <v>0</v>
      </c>
      <c r="K22" s="79" t="s">
        <v>223</v>
      </c>
      <c r="Z22" s="37">
        <f>IF(AQ22="5",BJ22,0)</f>
        <v>0</v>
      </c>
      <c r="AB22" s="37">
        <f>IF(AQ22="1",BH22,0)</f>
        <v>0</v>
      </c>
      <c r="AC22" s="37">
        <f>IF(AQ22="1",BI22,0)</f>
        <v>0</v>
      </c>
      <c r="AD22" s="37">
        <f>IF(AQ22="7",BH22,0)</f>
        <v>0</v>
      </c>
      <c r="AE22" s="37">
        <f>IF(AQ22="7",BI22,0)</f>
        <v>0</v>
      </c>
      <c r="AF22" s="37">
        <f>IF(AQ22="2",BH22,0)</f>
        <v>0</v>
      </c>
      <c r="AG22" s="37">
        <f>IF(AQ22="2",BI22,0)</f>
        <v>0</v>
      </c>
      <c r="AH22" s="37">
        <f>IF(AQ22="0",BJ22,0)</f>
        <v>0</v>
      </c>
      <c r="AI22" s="49" t="s">
        <v>89</v>
      </c>
      <c r="AJ22" s="37">
        <f>IF(AN22=0,J22,0)</f>
        <v>0</v>
      </c>
      <c r="AK22" s="37">
        <f>IF(AN22=12,J22,0)</f>
        <v>0</v>
      </c>
      <c r="AL22" s="37">
        <f>IF(AN22=21,J22,0)</f>
        <v>0</v>
      </c>
      <c r="AN22" s="37">
        <v>21</v>
      </c>
      <c r="AO22" s="37">
        <f>G22*0.088676717</f>
        <v>0</v>
      </c>
      <c r="AP22" s="37">
        <f>G22*(1-0.088676717)</f>
        <v>0</v>
      </c>
      <c r="AQ22" s="72" t="s">
        <v>219</v>
      </c>
      <c r="AV22" s="37">
        <f>AW22+AX22</f>
        <v>0</v>
      </c>
      <c r="AW22" s="37">
        <f>F22*AO22</f>
        <v>0</v>
      </c>
      <c r="AX22" s="37">
        <f>F22*AP22</f>
        <v>0</v>
      </c>
      <c r="AY22" s="72" t="s">
        <v>250</v>
      </c>
      <c r="AZ22" s="72" t="s">
        <v>225</v>
      </c>
      <c r="BA22" s="49" t="s">
        <v>226</v>
      </c>
      <c r="BC22" s="37">
        <f>AW22+AX22</f>
        <v>0</v>
      </c>
      <c r="BD22" s="37">
        <f>G22/(100-BE22)*100</f>
        <v>0</v>
      </c>
      <c r="BE22" s="37">
        <v>0</v>
      </c>
      <c r="BF22" s="37">
        <f>22</f>
        <v>22</v>
      </c>
      <c r="BH22" s="37">
        <f>F22*AO22</f>
        <v>0</v>
      </c>
      <c r="BI22" s="37">
        <f>F22*AP22</f>
        <v>0</v>
      </c>
      <c r="BJ22" s="37">
        <f>F22*G22</f>
        <v>0</v>
      </c>
      <c r="BK22" s="37"/>
      <c r="BL22" s="37">
        <v>15</v>
      </c>
      <c r="BW22" s="37">
        <v>21</v>
      </c>
      <c r="BX22" s="3" t="s">
        <v>248</v>
      </c>
    </row>
    <row r="23" spans="1:76" x14ac:dyDescent="0.25">
      <c r="A23" s="1" t="s">
        <v>251</v>
      </c>
      <c r="B23" s="2" t="s">
        <v>252</v>
      </c>
      <c r="C23" s="279" t="s">
        <v>253</v>
      </c>
      <c r="D23" s="280"/>
      <c r="E23" s="2" t="s">
        <v>249</v>
      </c>
      <c r="F23" s="37">
        <v>16.2</v>
      </c>
      <c r="G23" s="78">
        <v>0</v>
      </c>
      <c r="H23" s="37">
        <f>F23*AO23</f>
        <v>0</v>
      </c>
      <c r="I23" s="37">
        <f>F23*AP23</f>
        <v>0</v>
      </c>
      <c r="J23" s="37">
        <f>F23*G23</f>
        <v>0</v>
      </c>
      <c r="K23" s="79" t="s">
        <v>223</v>
      </c>
      <c r="Z23" s="37">
        <f>IF(AQ23="5",BJ23,0)</f>
        <v>0</v>
      </c>
      <c r="AB23" s="37">
        <f>IF(AQ23="1",BH23,0)</f>
        <v>0</v>
      </c>
      <c r="AC23" s="37">
        <f>IF(AQ23="1",BI23,0)</f>
        <v>0</v>
      </c>
      <c r="AD23" s="37">
        <f>IF(AQ23="7",BH23,0)</f>
        <v>0</v>
      </c>
      <c r="AE23" s="37">
        <f>IF(AQ23="7",BI23,0)</f>
        <v>0</v>
      </c>
      <c r="AF23" s="37">
        <f>IF(AQ23="2",BH23,0)</f>
        <v>0</v>
      </c>
      <c r="AG23" s="37">
        <f>IF(AQ23="2",BI23,0)</f>
        <v>0</v>
      </c>
      <c r="AH23" s="37">
        <f>IF(AQ23="0",BJ23,0)</f>
        <v>0</v>
      </c>
      <c r="AI23" s="49" t="s">
        <v>89</v>
      </c>
      <c r="AJ23" s="37">
        <f>IF(AN23=0,J23,0)</f>
        <v>0</v>
      </c>
      <c r="AK23" s="37">
        <f>IF(AN23=12,J23,0)</f>
        <v>0</v>
      </c>
      <c r="AL23" s="37">
        <f>IF(AN23=21,J23,0)</f>
        <v>0</v>
      </c>
      <c r="AN23" s="37">
        <v>21</v>
      </c>
      <c r="AO23" s="37">
        <f>G23*0</f>
        <v>0</v>
      </c>
      <c r="AP23" s="37">
        <f>G23*(1-0)</f>
        <v>0</v>
      </c>
      <c r="AQ23" s="72" t="s">
        <v>219</v>
      </c>
      <c r="AV23" s="37">
        <f>AW23+AX23</f>
        <v>0</v>
      </c>
      <c r="AW23" s="37">
        <f>F23*AO23</f>
        <v>0</v>
      </c>
      <c r="AX23" s="37">
        <f>F23*AP23</f>
        <v>0</v>
      </c>
      <c r="AY23" s="72" t="s">
        <v>250</v>
      </c>
      <c r="AZ23" s="72" t="s">
        <v>225</v>
      </c>
      <c r="BA23" s="49" t="s">
        <v>226</v>
      </c>
      <c r="BC23" s="37">
        <f>AW23+AX23</f>
        <v>0</v>
      </c>
      <c r="BD23" s="37">
        <f>G23/(100-BE23)*100</f>
        <v>0</v>
      </c>
      <c r="BE23" s="37">
        <v>0</v>
      </c>
      <c r="BF23" s="37">
        <f>23</f>
        <v>23</v>
      </c>
      <c r="BH23" s="37">
        <f>F23*AO23</f>
        <v>0</v>
      </c>
      <c r="BI23" s="37">
        <f>F23*AP23</f>
        <v>0</v>
      </c>
      <c r="BJ23" s="37">
        <f>F23*G23</f>
        <v>0</v>
      </c>
      <c r="BK23" s="37"/>
      <c r="BL23" s="37">
        <v>15</v>
      </c>
      <c r="BW23" s="37">
        <v>21</v>
      </c>
      <c r="BX23" s="3" t="s">
        <v>253</v>
      </c>
    </row>
    <row r="24" spans="1:76" x14ac:dyDescent="0.25">
      <c r="A24" s="80" t="s">
        <v>4</v>
      </c>
      <c r="B24" s="81" t="s">
        <v>95</v>
      </c>
      <c r="C24" s="365" t="s">
        <v>96</v>
      </c>
      <c r="D24" s="366"/>
      <c r="E24" s="82" t="s">
        <v>81</v>
      </c>
      <c r="F24" s="82" t="s">
        <v>81</v>
      </c>
      <c r="G24" s="83" t="s">
        <v>81</v>
      </c>
      <c r="H24" s="43">
        <f>SUM(H25:H28)</f>
        <v>0</v>
      </c>
      <c r="I24" s="43">
        <f>SUM(I25:I28)</f>
        <v>0</v>
      </c>
      <c r="J24" s="43">
        <f>SUM(J25:J28)</f>
        <v>0</v>
      </c>
      <c r="K24" s="84" t="s">
        <v>4</v>
      </c>
      <c r="AI24" s="49" t="s">
        <v>89</v>
      </c>
      <c r="AS24" s="43">
        <f>SUM(AJ25:AJ28)</f>
        <v>0</v>
      </c>
      <c r="AT24" s="43">
        <f>SUM(AK25:AK28)</f>
        <v>0</v>
      </c>
      <c r="AU24" s="43">
        <f>SUM(AL25:AL28)</f>
        <v>0</v>
      </c>
    </row>
    <row r="25" spans="1:76" x14ac:dyDescent="0.25">
      <c r="A25" s="1" t="s">
        <v>254</v>
      </c>
      <c r="B25" s="2" t="s">
        <v>255</v>
      </c>
      <c r="C25" s="279" t="s">
        <v>256</v>
      </c>
      <c r="D25" s="280"/>
      <c r="E25" s="2" t="s">
        <v>222</v>
      </c>
      <c r="F25" s="37">
        <v>34.830930000000002</v>
      </c>
      <c r="G25" s="78">
        <v>0</v>
      </c>
      <c r="H25" s="37">
        <f>F25*AO25</f>
        <v>0</v>
      </c>
      <c r="I25" s="37">
        <f>F25*AP25</f>
        <v>0</v>
      </c>
      <c r="J25" s="37">
        <f>F25*G25</f>
        <v>0</v>
      </c>
      <c r="K25" s="79" t="s">
        <v>223</v>
      </c>
      <c r="Z25" s="37">
        <f>IF(AQ25="5",BJ25,0)</f>
        <v>0</v>
      </c>
      <c r="AB25" s="37">
        <f>IF(AQ25="1",BH25,0)</f>
        <v>0</v>
      </c>
      <c r="AC25" s="37">
        <f>IF(AQ25="1",BI25,0)</f>
        <v>0</v>
      </c>
      <c r="AD25" s="37">
        <f>IF(AQ25="7",BH25,0)</f>
        <v>0</v>
      </c>
      <c r="AE25" s="37">
        <f>IF(AQ25="7",BI25,0)</f>
        <v>0</v>
      </c>
      <c r="AF25" s="37">
        <f>IF(AQ25="2",BH25,0)</f>
        <v>0</v>
      </c>
      <c r="AG25" s="37">
        <f>IF(AQ25="2",BI25,0)</f>
        <v>0</v>
      </c>
      <c r="AH25" s="37">
        <f>IF(AQ25="0",BJ25,0)</f>
        <v>0</v>
      </c>
      <c r="AI25" s="49" t="s">
        <v>89</v>
      </c>
      <c r="AJ25" s="37">
        <f>IF(AN25=0,J25,0)</f>
        <v>0</v>
      </c>
      <c r="AK25" s="37">
        <f>IF(AN25=12,J25,0)</f>
        <v>0</v>
      </c>
      <c r="AL25" s="37">
        <f>IF(AN25=21,J25,0)</f>
        <v>0</v>
      </c>
      <c r="AN25" s="37">
        <v>21</v>
      </c>
      <c r="AO25" s="37">
        <f>G25*0</f>
        <v>0</v>
      </c>
      <c r="AP25" s="37">
        <f>G25*(1-0)</f>
        <v>0</v>
      </c>
      <c r="AQ25" s="72" t="s">
        <v>219</v>
      </c>
      <c r="AV25" s="37">
        <f>AW25+AX25</f>
        <v>0</v>
      </c>
      <c r="AW25" s="37">
        <f>F25*AO25</f>
        <v>0</v>
      </c>
      <c r="AX25" s="37">
        <f>F25*AP25</f>
        <v>0</v>
      </c>
      <c r="AY25" s="72" t="s">
        <v>257</v>
      </c>
      <c r="AZ25" s="72" t="s">
        <v>225</v>
      </c>
      <c r="BA25" s="49" t="s">
        <v>226</v>
      </c>
      <c r="BC25" s="37">
        <f>AW25+AX25</f>
        <v>0</v>
      </c>
      <c r="BD25" s="37">
        <f>G25/(100-BE25)*100</f>
        <v>0</v>
      </c>
      <c r="BE25" s="37">
        <v>0</v>
      </c>
      <c r="BF25" s="37">
        <f>25</f>
        <v>25</v>
      </c>
      <c r="BH25" s="37">
        <f>F25*AO25</f>
        <v>0</v>
      </c>
      <c r="BI25" s="37">
        <f>F25*AP25</f>
        <v>0</v>
      </c>
      <c r="BJ25" s="37">
        <f>F25*G25</f>
        <v>0</v>
      </c>
      <c r="BK25" s="37"/>
      <c r="BL25" s="37">
        <v>16</v>
      </c>
      <c r="BW25" s="37">
        <v>21</v>
      </c>
      <c r="BX25" s="3" t="s">
        <v>256</v>
      </c>
    </row>
    <row r="26" spans="1:76" x14ac:dyDescent="0.25">
      <c r="A26" s="1" t="s">
        <v>258</v>
      </c>
      <c r="B26" s="2" t="s">
        <v>259</v>
      </c>
      <c r="C26" s="279" t="s">
        <v>260</v>
      </c>
      <c r="D26" s="280"/>
      <c r="E26" s="2" t="s">
        <v>222</v>
      </c>
      <c r="F26" s="37">
        <v>8.5920000000000005</v>
      </c>
      <c r="G26" s="78">
        <v>0</v>
      </c>
      <c r="H26" s="37">
        <f>F26*AO26</f>
        <v>0</v>
      </c>
      <c r="I26" s="37">
        <f>F26*AP26</f>
        <v>0</v>
      </c>
      <c r="J26" s="37">
        <f>F26*G26</f>
        <v>0</v>
      </c>
      <c r="K26" s="79" t="s">
        <v>236</v>
      </c>
      <c r="Z26" s="37">
        <f>IF(AQ26="5",BJ26,0)</f>
        <v>0</v>
      </c>
      <c r="AB26" s="37">
        <f>IF(AQ26="1",BH26,0)</f>
        <v>0</v>
      </c>
      <c r="AC26" s="37">
        <f>IF(AQ26="1",BI26,0)</f>
        <v>0</v>
      </c>
      <c r="AD26" s="37">
        <f>IF(AQ26="7",BH26,0)</f>
        <v>0</v>
      </c>
      <c r="AE26" s="37">
        <f>IF(AQ26="7",BI26,0)</f>
        <v>0</v>
      </c>
      <c r="AF26" s="37">
        <f>IF(AQ26="2",BH26,0)</f>
        <v>0</v>
      </c>
      <c r="AG26" s="37">
        <f>IF(AQ26="2",BI26,0)</f>
        <v>0</v>
      </c>
      <c r="AH26" s="37">
        <f>IF(AQ26="0",BJ26,0)</f>
        <v>0</v>
      </c>
      <c r="AI26" s="49" t="s">
        <v>89</v>
      </c>
      <c r="AJ26" s="37">
        <f>IF(AN26=0,J26,0)</f>
        <v>0</v>
      </c>
      <c r="AK26" s="37">
        <f>IF(AN26=12,J26,0)</f>
        <v>0</v>
      </c>
      <c r="AL26" s="37">
        <f>IF(AN26=21,J26,0)</f>
        <v>0</v>
      </c>
      <c r="AN26" s="37">
        <v>21</v>
      </c>
      <c r="AO26" s="37">
        <f>G26*0</f>
        <v>0</v>
      </c>
      <c r="AP26" s="37">
        <f>G26*(1-0)</f>
        <v>0</v>
      </c>
      <c r="AQ26" s="72" t="s">
        <v>219</v>
      </c>
      <c r="AV26" s="37">
        <f>AW26+AX26</f>
        <v>0</v>
      </c>
      <c r="AW26" s="37">
        <f>F26*AO26</f>
        <v>0</v>
      </c>
      <c r="AX26" s="37">
        <f>F26*AP26</f>
        <v>0</v>
      </c>
      <c r="AY26" s="72" t="s">
        <v>257</v>
      </c>
      <c r="AZ26" s="72" t="s">
        <v>225</v>
      </c>
      <c r="BA26" s="49" t="s">
        <v>226</v>
      </c>
      <c r="BC26" s="37">
        <f>AW26+AX26</f>
        <v>0</v>
      </c>
      <c r="BD26" s="37">
        <f>G26/(100-BE26)*100</f>
        <v>0</v>
      </c>
      <c r="BE26" s="37">
        <v>0</v>
      </c>
      <c r="BF26" s="37">
        <f>26</f>
        <v>26</v>
      </c>
      <c r="BH26" s="37">
        <f>F26*AO26</f>
        <v>0</v>
      </c>
      <c r="BI26" s="37">
        <f>F26*AP26</f>
        <v>0</v>
      </c>
      <c r="BJ26" s="37">
        <f>F26*G26</f>
        <v>0</v>
      </c>
      <c r="BK26" s="37"/>
      <c r="BL26" s="37">
        <v>16</v>
      </c>
      <c r="BW26" s="37">
        <v>21</v>
      </c>
      <c r="BX26" s="3" t="s">
        <v>260</v>
      </c>
    </row>
    <row r="27" spans="1:76" x14ac:dyDescent="0.25">
      <c r="A27" s="1" t="s">
        <v>261</v>
      </c>
      <c r="B27" s="2" t="s">
        <v>262</v>
      </c>
      <c r="C27" s="279" t="s">
        <v>263</v>
      </c>
      <c r="D27" s="280"/>
      <c r="E27" s="2" t="s">
        <v>222</v>
      </c>
      <c r="F27" s="37">
        <v>91.519829999999999</v>
      </c>
      <c r="G27" s="78">
        <v>0</v>
      </c>
      <c r="H27" s="37">
        <f>F27*AO27</f>
        <v>0</v>
      </c>
      <c r="I27" s="37">
        <f>F27*AP27</f>
        <v>0</v>
      </c>
      <c r="J27" s="37">
        <f>F27*G27</f>
        <v>0</v>
      </c>
      <c r="K27" s="79" t="s">
        <v>223</v>
      </c>
      <c r="Z27" s="37">
        <f>IF(AQ27="5",BJ27,0)</f>
        <v>0</v>
      </c>
      <c r="AB27" s="37">
        <f>IF(AQ27="1",BH27,0)</f>
        <v>0</v>
      </c>
      <c r="AC27" s="37">
        <f>IF(AQ27="1",BI27,0)</f>
        <v>0</v>
      </c>
      <c r="AD27" s="37">
        <f>IF(AQ27="7",BH27,0)</f>
        <v>0</v>
      </c>
      <c r="AE27" s="37">
        <f>IF(AQ27="7",BI27,0)</f>
        <v>0</v>
      </c>
      <c r="AF27" s="37">
        <f>IF(AQ27="2",BH27,0)</f>
        <v>0</v>
      </c>
      <c r="AG27" s="37">
        <f>IF(AQ27="2",BI27,0)</f>
        <v>0</v>
      </c>
      <c r="AH27" s="37">
        <f>IF(AQ27="0",BJ27,0)</f>
        <v>0</v>
      </c>
      <c r="AI27" s="49" t="s">
        <v>89</v>
      </c>
      <c r="AJ27" s="37">
        <f>IF(AN27=0,J27,0)</f>
        <v>0</v>
      </c>
      <c r="AK27" s="37">
        <f>IF(AN27=12,J27,0)</f>
        <v>0</v>
      </c>
      <c r="AL27" s="37">
        <f>IF(AN27=21,J27,0)</f>
        <v>0</v>
      </c>
      <c r="AN27" s="37">
        <v>21</v>
      </c>
      <c r="AO27" s="37">
        <f>G27*0</f>
        <v>0</v>
      </c>
      <c r="AP27" s="37">
        <f>G27*(1-0)</f>
        <v>0</v>
      </c>
      <c r="AQ27" s="72" t="s">
        <v>219</v>
      </c>
      <c r="AV27" s="37">
        <f>AW27+AX27</f>
        <v>0</v>
      </c>
      <c r="AW27" s="37">
        <f>F27*AO27</f>
        <v>0</v>
      </c>
      <c r="AX27" s="37">
        <f>F27*AP27</f>
        <v>0</v>
      </c>
      <c r="AY27" s="72" t="s">
        <v>257</v>
      </c>
      <c r="AZ27" s="72" t="s">
        <v>225</v>
      </c>
      <c r="BA27" s="49" t="s">
        <v>226</v>
      </c>
      <c r="BC27" s="37">
        <f>AW27+AX27</f>
        <v>0</v>
      </c>
      <c r="BD27" s="37">
        <f>G27/(100-BE27)*100</f>
        <v>0</v>
      </c>
      <c r="BE27" s="37">
        <v>0</v>
      </c>
      <c r="BF27" s="37">
        <f>27</f>
        <v>27</v>
      </c>
      <c r="BH27" s="37">
        <f>F27*AO27</f>
        <v>0</v>
      </c>
      <c r="BI27" s="37">
        <f>F27*AP27</f>
        <v>0</v>
      </c>
      <c r="BJ27" s="37">
        <f>F27*G27</f>
        <v>0</v>
      </c>
      <c r="BK27" s="37"/>
      <c r="BL27" s="37">
        <v>16</v>
      </c>
      <c r="BW27" s="37">
        <v>21</v>
      </c>
      <c r="BX27" s="3" t="s">
        <v>263</v>
      </c>
    </row>
    <row r="28" spans="1:76" x14ac:dyDescent="0.25">
      <c r="A28" s="1" t="s">
        <v>90</v>
      </c>
      <c r="B28" s="2" t="s">
        <v>264</v>
      </c>
      <c r="C28" s="279" t="s">
        <v>265</v>
      </c>
      <c r="D28" s="280"/>
      <c r="E28" s="2" t="s">
        <v>222</v>
      </c>
      <c r="F28" s="37">
        <v>76.638149999999996</v>
      </c>
      <c r="G28" s="78">
        <v>0</v>
      </c>
      <c r="H28" s="37">
        <f>F28*AO28</f>
        <v>0</v>
      </c>
      <c r="I28" s="37">
        <f>F28*AP28</f>
        <v>0</v>
      </c>
      <c r="J28" s="37">
        <f>F28*G28</f>
        <v>0</v>
      </c>
      <c r="K28" s="79" t="s">
        <v>223</v>
      </c>
      <c r="Z28" s="37">
        <f>IF(AQ28="5",BJ28,0)</f>
        <v>0</v>
      </c>
      <c r="AB28" s="37">
        <f>IF(AQ28="1",BH28,0)</f>
        <v>0</v>
      </c>
      <c r="AC28" s="37">
        <f>IF(AQ28="1",BI28,0)</f>
        <v>0</v>
      </c>
      <c r="AD28" s="37">
        <f>IF(AQ28="7",BH28,0)</f>
        <v>0</v>
      </c>
      <c r="AE28" s="37">
        <f>IF(AQ28="7",BI28,0)</f>
        <v>0</v>
      </c>
      <c r="AF28" s="37">
        <f>IF(AQ28="2",BH28,0)</f>
        <v>0</v>
      </c>
      <c r="AG28" s="37">
        <f>IF(AQ28="2",BI28,0)</f>
        <v>0</v>
      </c>
      <c r="AH28" s="37">
        <f>IF(AQ28="0",BJ28,0)</f>
        <v>0</v>
      </c>
      <c r="AI28" s="49" t="s">
        <v>89</v>
      </c>
      <c r="AJ28" s="37">
        <f>IF(AN28=0,J28,0)</f>
        <v>0</v>
      </c>
      <c r="AK28" s="37">
        <f>IF(AN28=12,J28,0)</f>
        <v>0</v>
      </c>
      <c r="AL28" s="37">
        <f>IF(AN28=21,J28,0)</f>
        <v>0</v>
      </c>
      <c r="AN28" s="37">
        <v>21</v>
      </c>
      <c r="AO28" s="37">
        <f>G28*0</f>
        <v>0</v>
      </c>
      <c r="AP28" s="37">
        <f>G28*(1-0)</f>
        <v>0</v>
      </c>
      <c r="AQ28" s="72" t="s">
        <v>219</v>
      </c>
      <c r="AV28" s="37">
        <f>AW28+AX28</f>
        <v>0</v>
      </c>
      <c r="AW28" s="37">
        <f>F28*AO28</f>
        <v>0</v>
      </c>
      <c r="AX28" s="37">
        <f>F28*AP28</f>
        <v>0</v>
      </c>
      <c r="AY28" s="72" t="s">
        <v>257</v>
      </c>
      <c r="AZ28" s="72" t="s">
        <v>225</v>
      </c>
      <c r="BA28" s="49" t="s">
        <v>226</v>
      </c>
      <c r="BC28" s="37">
        <f>AW28+AX28</f>
        <v>0</v>
      </c>
      <c r="BD28" s="37">
        <f>G28/(100-BE28)*100</f>
        <v>0</v>
      </c>
      <c r="BE28" s="37">
        <v>0</v>
      </c>
      <c r="BF28" s="37">
        <f>28</f>
        <v>28</v>
      </c>
      <c r="BH28" s="37">
        <f>F28*AO28</f>
        <v>0</v>
      </c>
      <c r="BI28" s="37">
        <f>F28*AP28</f>
        <v>0</v>
      </c>
      <c r="BJ28" s="37">
        <f>F28*G28</f>
        <v>0</v>
      </c>
      <c r="BK28" s="37"/>
      <c r="BL28" s="37">
        <v>16</v>
      </c>
      <c r="BW28" s="37">
        <v>21</v>
      </c>
      <c r="BX28" s="3" t="s">
        <v>265</v>
      </c>
    </row>
    <row r="29" spans="1:76" x14ac:dyDescent="0.25">
      <c r="A29" s="80" t="s">
        <v>4</v>
      </c>
      <c r="B29" s="81" t="s">
        <v>97</v>
      </c>
      <c r="C29" s="365" t="s">
        <v>98</v>
      </c>
      <c r="D29" s="366"/>
      <c r="E29" s="82" t="s">
        <v>81</v>
      </c>
      <c r="F29" s="82" t="s">
        <v>81</v>
      </c>
      <c r="G29" s="83" t="s">
        <v>81</v>
      </c>
      <c r="H29" s="43">
        <f>SUM(H30:H31)</f>
        <v>0</v>
      </c>
      <c r="I29" s="43">
        <f>SUM(I30:I31)</f>
        <v>0</v>
      </c>
      <c r="J29" s="43">
        <f>SUM(J30:J31)</f>
        <v>0</v>
      </c>
      <c r="K29" s="84" t="s">
        <v>4</v>
      </c>
      <c r="AI29" s="49" t="s">
        <v>89</v>
      </c>
      <c r="AS29" s="43">
        <f>SUM(AJ30:AJ31)</f>
        <v>0</v>
      </c>
      <c r="AT29" s="43">
        <f>SUM(AK30:AK31)</f>
        <v>0</v>
      </c>
      <c r="AU29" s="43">
        <f>SUM(AL30:AL31)</f>
        <v>0</v>
      </c>
    </row>
    <row r="30" spans="1:76" x14ac:dyDescent="0.25">
      <c r="A30" s="1" t="s">
        <v>266</v>
      </c>
      <c r="B30" s="2" t="s">
        <v>267</v>
      </c>
      <c r="C30" s="279" t="s">
        <v>268</v>
      </c>
      <c r="D30" s="280"/>
      <c r="E30" s="2" t="s">
        <v>222</v>
      </c>
      <c r="F30" s="37">
        <v>17.23368</v>
      </c>
      <c r="G30" s="78">
        <v>0</v>
      </c>
      <c r="H30" s="37">
        <f>F30*AO30</f>
        <v>0</v>
      </c>
      <c r="I30" s="37">
        <f>F30*AP30</f>
        <v>0</v>
      </c>
      <c r="J30" s="37">
        <f>F30*G30</f>
        <v>0</v>
      </c>
      <c r="K30" s="79" t="s">
        <v>223</v>
      </c>
      <c r="Z30" s="37">
        <f>IF(AQ30="5",BJ30,0)</f>
        <v>0</v>
      </c>
      <c r="AB30" s="37">
        <f>IF(AQ30="1",BH30,0)</f>
        <v>0</v>
      </c>
      <c r="AC30" s="37">
        <f>IF(AQ30="1",BI30,0)</f>
        <v>0</v>
      </c>
      <c r="AD30" s="37">
        <f>IF(AQ30="7",BH30,0)</f>
        <v>0</v>
      </c>
      <c r="AE30" s="37">
        <f>IF(AQ30="7",BI30,0)</f>
        <v>0</v>
      </c>
      <c r="AF30" s="37">
        <f>IF(AQ30="2",BH30,0)</f>
        <v>0</v>
      </c>
      <c r="AG30" s="37">
        <f>IF(AQ30="2",BI30,0)</f>
        <v>0</v>
      </c>
      <c r="AH30" s="37">
        <f>IF(AQ30="0",BJ30,0)</f>
        <v>0</v>
      </c>
      <c r="AI30" s="49" t="s">
        <v>89</v>
      </c>
      <c r="AJ30" s="37">
        <f>IF(AN30=0,J30,0)</f>
        <v>0</v>
      </c>
      <c r="AK30" s="37">
        <f>IF(AN30=12,J30,0)</f>
        <v>0</v>
      </c>
      <c r="AL30" s="37">
        <f>IF(AN30=21,J30,0)</f>
        <v>0</v>
      </c>
      <c r="AN30" s="37">
        <v>21</v>
      </c>
      <c r="AO30" s="37">
        <f>G30*0</f>
        <v>0</v>
      </c>
      <c r="AP30" s="37">
        <f>G30*(1-0)</f>
        <v>0</v>
      </c>
      <c r="AQ30" s="72" t="s">
        <v>219</v>
      </c>
      <c r="AV30" s="37">
        <f>AW30+AX30</f>
        <v>0</v>
      </c>
      <c r="AW30" s="37">
        <f>F30*AO30</f>
        <v>0</v>
      </c>
      <c r="AX30" s="37">
        <f>F30*AP30</f>
        <v>0</v>
      </c>
      <c r="AY30" s="72" t="s">
        <v>269</v>
      </c>
      <c r="AZ30" s="72" t="s">
        <v>225</v>
      </c>
      <c r="BA30" s="49" t="s">
        <v>226</v>
      </c>
      <c r="BC30" s="37">
        <f>AW30+AX30</f>
        <v>0</v>
      </c>
      <c r="BD30" s="37">
        <f>G30/(100-BE30)*100</f>
        <v>0</v>
      </c>
      <c r="BE30" s="37">
        <v>0</v>
      </c>
      <c r="BF30" s="37">
        <f>30</f>
        <v>30</v>
      </c>
      <c r="BH30" s="37">
        <f>F30*AO30</f>
        <v>0</v>
      </c>
      <c r="BI30" s="37">
        <f>F30*AP30</f>
        <v>0</v>
      </c>
      <c r="BJ30" s="37">
        <f>F30*G30</f>
        <v>0</v>
      </c>
      <c r="BK30" s="37"/>
      <c r="BL30" s="37">
        <v>17</v>
      </c>
      <c r="BW30" s="37">
        <v>21</v>
      </c>
      <c r="BX30" s="3" t="s">
        <v>268</v>
      </c>
    </row>
    <row r="31" spans="1:76" x14ac:dyDescent="0.25">
      <c r="A31" s="1" t="s">
        <v>93</v>
      </c>
      <c r="B31" s="2" t="s">
        <v>270</v>
      </c>
      <c r="C31" s="279" t="s">
        <v>271</v>
      </c>
      <c r="D31" s="280"/>
      <c r="E31" s="2" t="s">
        <v>222</v>
      </c>
      <c r="F31" s="37">
        <v>8.0364000000000004</v>
      </c>
      <c r="G31" s="78">
        <v>0</v>
      </c>
      <c r="H31" s="37">
        <f>F31*AO31</f>
        <v>0</v>
      </c>
      <c r="I31" s="37">
        <f>F31*AP31</f>
        <v>0</v>
      </c>
      <c r="J31" s="37">
        <f>F31*G31</f>
        <v>0</v>
      </c>
      <c r="K31" s="79" t="s">
        <v>223</v>
      </c>
      <c r="Z31" s="37">
        <f>IF(AQ31="5",BJ31,0)</f>
        <v>0</v>
      </c>
      <c r="AB31" s="37">
        <f>IF(AQ31="1",BH31,0)</f>
        <v>0</v>
      </c>
      <c r="AC31" s="37">
        <f>IF(AQ31="1",BI31,0)</f>
        <v>0</v>
      </c>
      <c r="AD31" s="37">
        <f>IF(AQ31="7",BH31,0)</f>
        <v>0</v>
      </c>
      <c r="AE31" s="37">
        <f>IF(AQ31="7",BI31,0)</f>
        <v>0</v>
      </c>
      <c r="AF31" s="37">
        <f>IF(AQ31="2",BH31,0)</f>
        <v>0</v>
      </c>
      <c r="AG31" s="37">
        <f>IF(AQ31="2",BI31,0)</f>
        <v>0</v>
      </c>
      <c r="AH31" s="37">
        <f>IF(AQ31="0",BJ31,0)</f>
        <v>0</v>
      </c>
      <c r="AI31" s="49" t="s">
        <v>89</v>
      </c>
      <c r="AJ31" s="37">
        <f>IF(AN31=0,J31,0)</f>
        <v>0</v>
      </c>
      <c r="AK31" s="37">
        <f>IF(AN31=12,J31,0)</f>
        <v>0</v>
      </c>
      <c r="AL31" s="37">
        <f>IF(AN31=21,J31,0)</f>
        <v>0</v>
      </c>
      <c r="AN31" s="37">
        <v>21</v>
      </c>
      <c r="AO31" s="37">
        <f>G31*0.512975819</f>
        <v>0</v>
      </c>
      <c r="AP31" s="37">
        <f>G31*(1-0.512975819)</f>
        <v>0</v>
      </c>
      <c r="AQ31" s="72" t="s">
        <v>219</v>
      </c>
      <c r="AV31" s="37">
        <f>AW31+AX31</f>
        <v>0</v>
      </c>
      <c r="AW31" s="37">
        <f>F31*AO31</f>
        <v>0</v>
      </c>
      <c r="AX31" s="37">
        <f>F31*AP31</f>
        <v>0</v>
      </c>
      <c r="AY31" s="72" t="s">
        <v>269</v>
      </c>
      <c r="AZ31" s="72" t="s">
        <v>225</v>
      </c>
      <c r="BA31" s="49" t="s">
        <v>226</v>
      </c>
      <c r="BC31" s="37">
        <f>AW31+AX31</f>
        <v>0</v>
      </c>
      <c r="BD31" s="37">
        <f>G31/(100-BE31)*100</f>
        <v>0</v>
      </c>
      <c r="BE31" s="37">
        <v>0</v>
      </c>
      <c r="BF31" s="37">
        <f>31</f>
        <v>31</v>
      </c>
      <c r="BH31" s="37">
        <f>F31*AO31</f>
        <v>0</v>
      </c>
      <c r="BI31" s="37">
        <f>F31*AP31</f>
        <v>0</v>
      </c>
      <c r="BJ31" s="37">
        <f>F31*G31</f>
        <v>0</v>
      </c>
      <c r="BK31" s="37"/>
      <c r="BL31" s="37">
        <v>17</v>
      </c>
      <c r="BW31" s="37">
        <v>21</v>
      </c>
      <c r="BX31" s="3" t="s">
        <v>271</v>
      </c>
    </row>
    <row r="32" spans="1:76" x14ac:dyDescent="0.25">
      <c r="A32" s="80" t="s">
        <v>4</v>
      </c>
      <c r="B32" s="81" t="s">
        <v>99</v>
      </c>
      <c r="C32" s="365" t="s">
        <v>100</v>
      </c>
      <c r="D32" s="366"/>
      <c r="E32" s="82" t="s">
        <v>81</v>
      </c>
      <c r="F32" s="82" t="s">
        <v>81</v>
      </c>
      <c r="G32" s="83" t="s">
        <v>81</v>
      </c>
      <c r="H32" s="43">
        <f>SUM(H33:H33)</f>
        <v>0</v>
      </c>
      <c r="I32" s="43">
        <f>SUM(I33:I33)</f>
        <v>0</v>
      </c>
      <c r="J32" s="43">
        <f>SUM(J33:J33)</f>
        <v>0</v>
      </c>
      <c r="K32" s="84" t="s">
        <v>4</v>
      </c>
      <c r="AI32" s="49" t="s">
        <v>89</v>
      </c>
      <c r="AS32" s="43">
        <f>SUM(AJ33:AJ33)</f>
        <v>0</v>
      </c>
      <c r="AT32" s="43">
        <f>SUM(AK33:AK33)</f>
        <v>0</v>
      </c>
      <c r="AU32" s="43">
        <f>SUM(AL33:AL33)</f>
        <v>0</v>
      </c>
    </row>
    <row r="33" spans="1:76" x14ac:dyDescent="0.25">
      <c r="A33" s="1" t="s">
        <v>95</v>
      </c>
      <c r="B33" s="2" t="s">
        <v>272</v>
      </c>
      <c r="C33" s="279" t="s">
        <v>273</v>
      </c>
      <c r="D33" s="280"/>
      <c r="E33" s="2" t="s">
        <v>249</v>
      </c>
      <c r="F33" s="37">
        <v>9.7889999999999997</v>
      </c>
      <c r="G33" s="78">
        <v>0</v>
      </c>
      <c r="H33" s="37">
        <f>F33*AO33</f>
        <v>0</v>
      </c>
      <c r="I33" s="37">
        <f>F33*AP33</f>
        <v>0</v>
      </c>
      <c r="J33" s="37">
        <f>F33*G33</f>
        <v>0</v>
      </c>
      <c r="K33" s="79" t="s">
        <v>223</v>
      </c>
      <c r="Z33" s="37">
        <f>IF(AQ33="5",BJ33,0)</f>
        <v>0</v>
      </c>
      <c r="AB33" s="37">
        <f>IF(AQ33="1",BH33,0)</f>
        <v>0</v>
      </c>
      <c r="AC33" s="37">
        <f>IF(AQ33="1",BI33,0)</f>
        <v>0</v>
      </c>
      <c r="AD33" s="37">
        <f>IF(AQ33="7",BH33,0)</f>
        <v>0</v>
      </c>
      <c r="AE33" s="37">
        <f>IF(AQ33="7",BI33,0)</f>
        <v>0</v>
      </c>
      <c r="AF33" s="37">
        <f>IF(AQ33="2",BH33,0)</f>
        <v>0</v>
      </c>
      <c r="AG33" s="37">
        <f>IF(AQ33="2",BI33,0)</f>
        <v>0</v>
      </c>
      <c r="AH33" s="37">
        <f>IF(AQ33="0",BJ33,0)</f>
        <v>0</v>
      </c>
      <c r="AI33" s="49" t="s">
        <v>89</v>
      </c>
      <c r="AJ33" s="37">
        <f>IF(AN33=0,J33,0)</f>
        <v>0</v>
      </c>
      <c r="AK33" s="37">
        <f>IF(AN33=12,J33,0)</f>
        <v>0</v>
      </c>
      <c r="AL33" s="37">
        <f>IF(AN33=21,J33,0)</f>
        <v>0</v>
      </c>
      <c r="AN33" s="37">
        <v>21</v>
      </c>
      <c r="AO33" s="37">
        <f>G33*0.06956738</f>
        <v>0</v>
      </c>
      <c r="AP33" s="37">
        <f>G33*(1-0.06956738)</f>
        <v>0</v>
      </c>
      <c r="AQ33" s="72" t="s">
        <v>219</v>
      </c>
      <c r="AV33" s="37">
        <f>AW33+AX33</f>
        <v>0</v>
      </c>
      <c r="AW33" s="37">
        <f>F33*AO33</f>
        <v>0</v>
      </c>
      <c r="AX33" s="37">
        <f>F33*AP33</f>
        <v>0</v>
      </c>
      <c r="AY33" s="72" t="s">
        <v>274</v>
      </c>
      <c r="AZ33" s="72" t="s">
        <v>225</v>
      </c>
      <c r="BA33" s="49" t="s">
        <v>226</v>
      </c>
      <c r="BC33" s="37">
        <f>AW33+AX33</f>
        <v>0</v>
      </c>
      <c r="BD33" s="37">
        <f>G33/(100-BE33)*100</f>
        <v>0</v>
      </c>
      <c r="BE33" s="37">
        <v>0</v>
      </c>
      <c r="BF33" s="37">
        <f>33</f>
        <v>33</v>
      </c>
      <c r="BH33" s="37">
        <f>F33*AO33</f>
        <v>0</v>
      </c>
      <c r="BI33" s="37">
        <f>F33*AP33</f>
        <v>0</v>
      </c>
      <c r="BJ33" s="37">
        <f>F33*G33</f>
        <v>0</v>
      </c>
      <c r="BK33" s="37"/>
      <c r="BL33" s="37">
        <v>18</v>
      </c>
      <c r="BW33" s="37">
        <v>21</v>
      </c>
      <c r="BX33" s="3" t="s">
        <v>273</v>
      </c>
    </row>
    <row r="34" spans="1:76" x14ac:dyDescent="0.25">
      <c r="A34" s="80" t="s">
        <v>4</v>
      </c>
      <c r="B34" s="81" t="s">
        <v>101</v>
      </c>
      <c r="C34" s="365" t="s">
        <v>102</v>
      </c>
      <c r="D34" s="366"/>
      <c r="E34" s="82" t="s">
        <v>81</v>
      </c>
      <c r="F34" s="82" t="s">
        <v>81</v>
      </c>
      <c r="G34" s="83" t="s">
        <v>81</v>
      </c>
      <c r="H34" s="43">
        <f>SUM(H35:H35)</f>
        <v>0</v>
      </c>
      <c r="I34" s="43">
        <f>SUM(I35:I35)</f>
        <v>0</v>
      </c>
      <c r="J34" s="43">
        <f>SUM(J35:J35)</f>
        <v>0</v>
      </c>
      <c r="K34" s="84" t="s">
        <v>4</v>
      </c>
      <c r="AI34" s="49" t="s">
        <v>89</v>
      </c>
      <c r="AS34" s="43">
        <f>SUM(AJ35:AJ35)</f>
        <v>0</v>
      </c>
      <c r="AT34" s="43">
        <f>SUM(AK35:AK35)</f>
        <v>0</v>
      </c>
      <c r="AU34" s="43">
        <f>SUM(AL35:AL35)</f>
        <v>0</v>
      </c>
    </row>
    <row r="35" spans="1:76" x14ac:dyDescent="0.25">
      <c r="A35" s="1" t="s">
        <v>97</v>
      </c>
      <c r="B35" s="2" t="s">
        <v>275</v>
      </c>
      <c r="C35" s="279" t="s">
        <v>276</v>
      </c>
      <c r="D35" s="280"/>
      <c r="E35" s="2" t="s">
        <v>222</v>
      </c>
      <c r="F35" s="37">
        <v>76.638149999999996</v>
      </c>
      <c r="G35" s="78">
        <v>0</v>
      </c>
      <c r="H35" s="37">
        <f>F35*AO35</f>
        <v>0</v>
      </c>
      <c r="I35" s="37">
        <f>F35*AP35</f>
        <v>0</v>
      </c>
      <c r="J35" s="37">
        <f>F35*G35</f>
        <v>0</v>
      </c>
      <c r="K35" s="79" t="s">
        <v>223</v>
      </c>
      <c r="Z35" s="37">
        <f>IF(AQ35="5",BJ35,0)</f>
        <v>0</v>
      </c>
      <c r="AB35" s="37">
        <f>IF(AQ35="1",BH35,0)</f>
        <v>0</v>
      </c>
      <c r="AC35" s="37">
        <f>IF(AQ35="1",BI35,0)</f>
        <v>0</v>
      </c>
      <c r="AD35" s="37">
        <f>IF(AQ35="7",BH35,0)</f>
        <v>0</v>
      </c>
      <c r="AE35" s="37">
        <f>IF(AQ35="7",BI35,0)</f>
        <v>0</v>
      </c>
      <c r="AF35" s="37">
        <f>IF(AQ35="2",BH35,0)</f>
        <v>0</v>
      </c>
      <c r="AG35" s="37">
        <f>IF(AQ35="2",BI35,0)</f>
        <v>0</v>
      </c>
      <c r="AH35" s="37">
        <f>IF(AQ35="0",BJ35,0)</f>
        <v>0</v>
      </c>
      <c r="AI35" s="49" t="s">
        <v>89</v>
      </c>
      <c r="AJ35" s="37">
        <f>IF(AN35=0,J35,0)</f>
        <v>0</v>
      </c>
      <c r="AK35" s="37">
        <f>IF(AN35=12,J35,0)</f>
        <v>0</v>
      </c>
      <c r="AL35" s="37">
        <f>IF(AN35=21,J35,0)</f>
        <v>0</v>
      </c>
      <c r="AN35" s="37">
        <v>21</v>
      </c>
      <c r="AO35" s="37">
        <f>G35*0</f>
        <v>0</v>
      </c>
      <c r="AP35" s="37">
        <f>G35*(1-0)</f>
        <v>0</v>
      </c>
      <c r="AQ35" s="72" t="s">
        <v>219</v>
      </c>
      <c r="AV35" s="37">
        <f>AW35+AX35</f>
        <v>0</v>
      </c>
      <c r="AW35" s="37">
        <f>F35*AO35</f>
        <v>0</v>
      </c>
      <c r="AX35" s="37">
        <f>F35*AP35</f>
        <v>0</v>
      </c>
      <c r="AY35" s="72" t="s">
        <v>277</v>
      </c>
      <c r="AZ35" s="72" t="s">
        <v>225</v>
      </c>
      <c r="BA35" s="49" t="s">
        <v>226</v>
      </c>
      <c r="BC35" s="37">
        <f>AW35+AX35</f>
        <v>0</v>
      </c>
      <c r="BD35" s="37">
        <f>G35/(100-BE35)*100</f>
        <v>0</v>
      </c>
      <c r="BE35" s="37">
        <v>0</v>
      </c>
      <c r="BF35" s="37">
        <f>35</f>
        <v>35</v>
      </c>
      <c r="BH35" s="37">
        <f>F35*AO35</f>
        <v>0</v>
      </c>
      <c r="BI35" s="37">
        <f>F35*AP35</f>
        <v>0</v>
      </c>
      <c r="BJ35" s="37">
        <f>F35*G35</f>
        <v>0</v>
      </c>
      <c r="BK35" s="37"/>
      <c r="BL35" s="37">
        <v>19</v>
      </c>
      <c r="BW35" s="37">
        <v>21</v>
      </c>
      <c r="BX35" s="3" t="s">
        <v>276</v>
      </c>
    </row>
    <row r="36" spans="1:76" x14ac:dyDescent="0.25">
      <c r="A36" s="80" t="s">
        <v>4</v>
      </c>
      <c r="B36" s="81" t="s">
        <v>103</v>
      </c>
      <c r="C36" s="365" t="s">
        <v>104</v>
      </c>
      <c r="D36" s="366"/>
      <c r="E36" s="82" t="s">
        <v>81</v>
      </c>
      <c r="F36" s="82" t="s">
        <v>81</v>
      </c>
      <c r="G36" s="83" t="s">
        <v>81</v>
      </c>
      <c r="H36" s="43">
        <f>SUM(H37:H37)</f>
        <v>0</v>
      </c>
      <c r="I36" s="43">
        <f>SUM(I37:I37)</f>
        <v>0</v>
      </c>
      <c r="J36" s="43">
        <f>SUM(J37:J37)</f>
        <v>0</v>
      </c>
      <c r="K36" s="84" t="s">
        <v>4</v>
      </c>
      <c r="AI36" s="49" t="s">
        <v>89</v>
      </c>
      <c r="AS36" s="43">
        <f>SUM(AJ37:AJ37)</f>
        <v>0</v>
      </c>
      <c r="AT36" s="43">
        <f>SUM(AK37:AK37)</f>
        <v>0</v>
      </c>
      <c r="AU36" s="43">
        <f>SUM(AL37:AL37)</f>
        <v>0</v>
      </c>
    </row>
    <row r="37" spans="1:76" x14ac:dyDescent="0.25">
      <c r="A37" s="1" t="s">
        <v>99</v>
      </c>
      <c r="B37" s="2" t="s">
        <v>278</v>
      </c>
      <c r="C37" s="279" t="s">
        <v>279</v>
      </c>
      <c r="D37" s="280"/>
      <c r="E37" s="2" t="s">
        <v>249</v>
      </c>
      <c r="F37" s="37">
        <v>94.992819999999995</v>
      </c>
      <c r="G37" s="78">
        <v>0</v>
      </c>
      <c r="H37" s="37">
        <f>F37*AO37</f>
        <v>0</v>
      </c>
      <c r="I37" s="37">
        <f>F37*AP37</f>
        <v>0</v>
      </c>
      <c r="J37" s="37">
        <f>F37*G37</f>
        <v>0</v>
      </c>
      <c r="K37" s="79" t="s">
        <v>223</v>
      </c>
      <c r="Z37" s="37">
        <f>IF(AQ37="5",BJ37,0)</f>
        <v>0</v>
      </c>
      <c r="AB37" s="37">
        <f>IF(AQ37="1",BH37,0)</f>
        <v>0</v>
      </c>
      <c r="AC37" s="37">
        <f>IF(AQ37="1",BI37,0)</f>
        <v>0</v>
      </c>
      <c r="AD37" s="37">
        <f>IF(AQ37="7",BH37,0)</f>
        <v>0</v>
      </c>
      <c r="AE37" s="37">
        <f>IF(AQ37="7",BI37,0)</f>
        <v>0</v>
      </c>
      <c r="AF37" s="37">
        <f>IF(AQ37="2",BH37,0)</f>
        <v>0</v>
      </c>
      <c r="AG37" s="37">
        <f>IF(AQ37="2",BI37,0)</f>
        <v>0</v>
      </c>
      <c r="AH37" s="37">
        <f>IF(AQ37="0",BJ37,0)</f>
        <v>0</v>
      </c>
      <c r="AI37" s="49" t="s">
        <v>89</v>
      </c>
      <c r="AJ37" s="37">
        <f>IF(AN37=0,J37,0)</f>
        <v>0</v>
      </c>
      <c r="AK37" s="37">
        <f>IF(AN37=12,J37,0)</f>
        <v>0</v>
      </c>
      <c r="AL37" s="37">
        <f>IF(AN37=21,J37,0)</f>
        <v>0</v>
      </c>
      <c r="AN37" s="37">
        <v>21</v>
      </c>
      <c r="AO37" s="37">
        <f>G37*0</f>
        <v>0</v>
      </c>
      <c r="AP37" s="37">
        <f>G37*(1-0)</f>
        <v>0</v>
      </c>
      <c r="AQ37" s="72" t="s">
        <v>219</v>
      </c>
      <c r="AV37" s="37">
        <f>AW37+AX37</f>
        <v>0</v>
      </c>
      <c r="AW37" s="37">
        <f>F37*AO37</f>
        <v>0</v>
      </c>
      <c r="AX37" s="37">
        <f>F37*AP37</f>
        <v>0</v>
      </c>
      <c r="AY37" s="72" t="s">
        <v>280</v>
      </c>
      <c r="AZ37" s="72" t="s">
        <v>281</v>
      </c>
      <c r="BA37" s="49" t="s">
        <v>226</v>
      </c>
      <c r="BC37" s="37">
        <f>AW37+AX37</f>
        <v>0</v>
      </c>
      <c r="BD37" s="37">
        <f>G37/(100-BE37)*100</f>
        <v>0</v>
      </c>
      <c r="BE37" s="37">
        <v>0</v>
      </c>
      <c r="BF37" s="37">
        <f>37</f>
        <v>37</v>
      </c>
      <c r="BH37" s="37">
        <f>F37*AO37</f>
        <v>0</v>
      </c>
      <c r="BI37" s="37">
        <f>F37*AP37</f>
        <v>0</v>
      </c>
      <c r="BJ37" s="37">
        <f>F37*G37</f>
        <v>0</v>
      </c>
      <c r="BK37" s="37"/>
      <c r="BL37" s="37">
        <v>21</v>
      </c>
      <c r="BW37" s="37">
        <v>21</v>
      </c>
      <c r="BX37" s="3" t="s">
        <v>279</v>
      </c>
    </row>
    <row r="38" spans="1:76" x14ac:dyDescent="0.25">
      <c r="A38" s="80" t="s">
        <v>4</v>
      </c>
      <c r="B38" s="81" t="s">
        <v>105</v>
      </c>
      <c r="C38" s="365" t="s">
        <v>106</v>
      </c>
      <c r="D38" s="366"/>
      <c r="E38" s="82" t="s">
        <v>81</v>
      </c>
      <c r="F38" s="82" t="s">
        <v>81</v>
      </c>
      <c r="G38" s="83" t="s">
        <v>81</v>
      </c>
      <c r="H38" s="43">
        <f>SUM(H39:H47)</f>
        <v>0</v>
      </c>
      <c r="I38" s="43">
        <f>SUM(I39:I47)</f>
        <v>0</v>
      </c>
      <c r="J38" s="43">
        <f>SUM(J39:J47)</f>
        <v>0</v>
      </c>
      <c r="K38" s="84" t="s">
        <v>4</v>
      </c>
      <c r="AI38" s="49" t="s">
        <v>89</v>
      </c>
      <c r="AS38" s="43">
        <f>SUM(AJ39:AJ47)</f>
        <v>0</v>
      </c>
      <c r="AT38" s="43">
        <f>SUM(AK39:AK47)</f>
        <v>0</v>
      </c>
      <c r="AU38" s="43">
        <f>SUM(AL39:AL47)</f>
        <v>0</v>
      </c>
    </row>
    <row r="39" spans="1:76" x14ac:dyDescent="0.25">
      <c r="A39" s="1" t="s">
        <v>101</v>
      </c>
      <c r="B39" s="2" t="s">
        <v>282</v>
      </c>
      <c r="C39" s="279" t="s">
        <v>283</v>
      </c>
      <c r="D39" s="280"/>
      <c r="E39" s="2" t="s">
        <v>222</v>
      </c>
      <c r="F39" s="37">
        <v>0.35699999999999998</v>
      </c>
      <c r="G39" s="78">
        <v>0</v>
      </c>
      <c r="H39" s="37">
        <f t="shared" ref="H39:H47" si="24">F39*AO39</f>
        <v>0</v>
      </c>
      <c r="I39" s="37">
        <f t="shared" ref="I39:I47" si="25">F39*AP39</f>
        <v>0</v>
      </c>
      <c r="J39" s="37">
        <f t="shared" ref="J39:J47" si="26">F39*G39</f>
        <v>0</v>
      </c>
      <c r="K39" s="79" t="s">
        <v>223</v>
      </c>
      <c r="Z39" s="37">
        <f t="shared" ref="Z39:Z47" si="27">IF(AQ39="5",BJ39,0)</f>
        <v>0</v>
      </c>
      <c r="AB39" s="37">
        <f t="shared" ref="AB39:AB47" si="28">IF(AQ39="1",BH39,0)</f>
        <v>0</v>
      </c>
      <c r="AC39" s="37">
        <f t="shared" ref="AC39:AC47" si="29">IF(AQ39="1",BI39,0)</f>
        <v>0</v>
      </c>
      <c r="AD39" s="37">
        <f t="shared" ref="AD39:AD47" si="30">IF(AQ39="7",BH39,0)</f>
        <v>0</v>
      </c>
      <c r="AE39" s="37">
        <f t="shared" ref="AE39:AE47" si="31">IF(AQ39="7",BI39,0)</f>
        <v>0</v>
      </c>
      <c r="AF39" s="37">
        <f t="shared" ref="AF39:AF47" si="32">IF(AQ39="2",BH39,0)</f>
        <v>0</v>
      </c>
      <c r="AG39" s="37">
        <f t="shared" ref="AG39:AG47" si="33">IF(AQ39="2",BI39,0)</f>
        <v>0</v>
      </c>
      <c r="AH39" s="37">
        <f t="shared" ref="AH39:AH47" si="34">IF(AQ39="0",BJ39,0)</f>
        <v>0</v>
      </c>
      <c r="AI39" s="49" t="s">
        <v>89</v>
      </c>
      <c r="AJ39" s="37">
        <f t="shared" ref="AJ39:AJ47" si="35">IF(AN39=0,J39,0)</f>
        <v>0</v>
      </c>
      <c r="AK39" s="37">
        <f t="shared" ref="AK39:AK47" si="36">IF(AN39=12,J39,0)</f>
        <v>0</v>
      </c>
      <c r="AL39" s="37">
        <f t="shared" ref="AL39:AL47" si="37">IF(AN39=21,J39,0)</f>
        <v>0</v>
      </c>
      <c r="AN39" s="37">
        <v>21</v>
      </c>
      <c r="AO39" s="37">
        <f>G39*0.916233163</f>
        <v>0</v>
      </c>
      <c r="AP39" s="37">
        <f>G39*(1-0.916233163)</f>
        <v>0</v>
      </c>
      <c r="AQ39" s="72" t="s">
        <v>219</v>
      </c>
      <c r="AV39" s="37">
        <f t="shared" ref="AV39:AV47" si="38">AW39+AX39</f>
        <v>0</v>
      </c>
      <c r="AW39" s="37">
        <f t="shared" ref="AW39:AW47" si="39">F39*AO39</f>
        <v>0</v>
      </c>
      <c r="AX39" s="37">
        <f t="shared" ref="AX39:AX47" si="40">F39*AP39</f>
        <v>0</v>
      </c>
      <c r="AY39" s="72" t="s">
        <v>284</v>
      </c>
      <c r="AZ39" s="72" t="s">
        <v>281</v>
      </c>
      <c r="BA39" s="49" t="s">
        <v>226</v>
      </c>
      <c r="BC39" s="37">
        <f t="shared" ref="BC39:BC47" si="41">AW39+AX39</f>
        <v>0</v>
      </c>
      <c r="BD39" s="37">
        <f t="shared" ref="BD39:BD47" si="42">G39/(100-BE39)*100</f>
        <v>0</v>
      </c>
      <c r="BE39" s="37">
        <v>0</v>
      </c>
      <c r="BF39" s="37">
        <f>39</f>
        <v>39</v>
      </c>
      <c r="BH39" s="37">
        <f t="shared" ref="BH39:BH47" si="43">F39*AO39</f>
        <v>0</v>
      </c>
      <c r="BI39" s="37">
        <f t="shared" ref="BI39:BI47" si="44">F39*AP39</f>
        <v>0</v>
      </c>
      <c r="BJ39" s="37">
        <f t="shared" ref="BJ39:BJ47" si="45">F39*G39</f>
        <v>0</v>
      </c>
      <c r="BK39" s="37"/>
      <c r="BL39" s="37">
        <v>27</v>
      </c>
      <c r="BW39" s="37">
        <v>21</v>
      </c>
      <c r="BX39" s="3" t="s">
        <v>283</v>
      </c>
    </row>
    <row r="40" spans="1:76" x14ac:dyDescent="0.25">
      <c r="A40" s="1" t="s">
        <v>285</v>
      </c>
      <c r="B40" s="2" t="s">
        <v>286</v>
      </c>
      <c r="C40" s="279" t="s">
        <v>287</v>
      </c>
      <c r="D40" s="280"/>
      <c r="E40" s="2" t="s">
        <v>249</v>
      </c>
      <c r="F40" s="37">
        <v>1.44</v>
      </c>
      <c r="G40" s="78">
        <v>0</v>
      </c>
      <c r="H40" s="37">
        <f t="shared" si="24"/>
        <v>0</v>
      </c>
      <c r="I40" s="37">
        <f t="shared" si="25"/>
        <v>0</v>
      </c>
      <c r="J40" s="37">
        <f t="shared" si="26"/>
        <v>0</v>
      </c>
      <c r="K40" s="79" t="s">
        <v>223</v>
      </c>
      <c r="Z40" s="37">
        <f t="shared" si="27"/>
        <v>0</v>
      </c>
      <c r="AB40" s="37">
        <f t="shared" si="28"/>
        <v>0</v>
      </c>
      <c r="AC40" s="37">
        <f t="shared" si="29"/>
        <v>0</v>
      </c>
      <c r="AD40" s="37">
        <f t="shared" si="30"/>
        <v>0</v>
      </c>
      <c r="AE40" s="37">
        <f t="shared" si="31"/>
        <v>0</v>
      </c>
      <c r="AF40" s="37">
        <f t="shared" si="32"/>
        <v>0</v>
      </c>
      <c r="AG40" s="37">
        <f t="shared" si="33"/>
        <v>0</v>
      </c>
      <c r="AH40" s="37">
        <f t="shared" si="34"/>
        <v>0</v>
      </c>
      <c r="AI40" s="49" t="s">
        <v>89</v>
      </c>
      <c r="AJ40" s="37">
        <f t="shared" si="35"/>
        <v>0</v>
      </c>
      <c r="AK40" s="37">
        <f t="shared" si="36"/>
        <v>0</v>
      </c>
      <c r="AL40" s="37">
        <f t="shared" si="37"/>
        <v>0</v>
      </c>
      <c r="AN40" s="37">
        <v>21</v>
      </c>
      <c r="AO40" s="37">
        <f>G40*0.6843625</f>
        <v>0</v>
      </c>
      <c r="AP40" s="37">
        <f>G40*(1-0.6843625)</f>
        <v>0</v>
      </c>
      <c r="AQ40" s="72" t="s">
        <v>219</v>
      </c>
      <c r="AV40" s="37">
        <f t="shared" si="38"/>
        <v>0</v>
      </c>
      <c r="AW40" s="37">
        <f t="shared" si="39"/>
        <v>0</v>
      </c>
      <c r="AX40" s="37">
        <f t="shared" si="40"/>
        <v>0</v>
      </c>
      <c r="AY40" s="72" t="s">
        <v>284</v>
      </c>
      <c r="AZ40" s="72" t="s">
        <v>281</v>
      </c>
      <c r="BA40" s="49" t="s">
        <v>226</v>
      </c>
      <c r="BC40" s="37">
        <f t="shared" si="41"/>
        <v>0</v>
      </c>
      <c r="BD40" s="37">
        <f t="shared" si="42"/>
        <v>0</v>
      </c>
      <c r="BE40" s="37">
        <v>0</v>
      </c>
      <c r="BF40" s="37">
        <f>40</f>
        <v>40</v>
      </c>
      <c r="BH40" s="37">
        <f t="shared" si="43"/>
        <v>0</v>
      </c>
      <c r="BI40" s="37">
        <f t="shared" si="44"/>
        <v>0</v>
      </c>
      <c r="BJ40" s="37">
        <f t="shared" si="45"/>
        <v>0</v>
      </c>
      <c r="BK40" s="37"/>
      <c r="BL40" s="37">
        <v>27</v>
      </c>
      <c r="BW40" s="37">
        <v>21</v>
      </c>
      <c r="BX40" s="3" t="s">
        <v>287</v>
      </c>
    </row>
    <row r="41" spans="1:76" x14ac:dyDescent="0.25">
      <c r="A41" s="1" t="s">
        <v>103</v>
      </c>
      <c r="B41" s="2" t="s">
        <v>288</v>
      </c>
      <c r="C41" s="279" t="s">
        <v>289</v>
      </c>
      <c r="D41" s="280"/>
      <c r="E41" s="2" t="s">
        <v>249</v>
      </c>
      <c r="F41" s="37">
        <v>1.44</v>
      </c>
      <c r="G41" s="78">
        <v>0</v>
      </c>
      <c r="H41" s="37">
        <f t="shared" si="24"/>
        <v>0</v>
      </c>
      <c r="I41" s="37">
        <f t="shared" si="25"/>
        <v>0</v>
      </c>
      <c r="J41" s="37">
        <f t="shared" si="26"/>
        <v>0</v>
      </c>
      <c r="K41" s="79" t="s">
        <v>223</v>
      </c>
      <c r="Z41" s="37">
        <f t="shared" si="27"/>
        <v>0</v>
      </c>
      <c r="AB41" s="37">
        <f t="shared" si="28"/>
        <v>0</v>
      </c>
      <c r="AC41" s="37">
        <f t="shared" si="29"/>
        <v>0</v>
      </c>
      <c r="AD41" s="37">
        <f t="shared" si="30"/>
        <v>0</v>
      </c>
      <c r="AE41" s="37">
        <f t="shared" si="31"/>
        <v>0</v>
      </c>
      <c r="AF41" s="37">
        <f t="shared" si="32"/>
        <v>0</v>
      </c>
      <c r="AG41" s="37">
        <f t="shared" si="33"/>
        <v>0</v>
      </c>
      <c r="AH41" s="37">
        <f t="shared" si="34"/>
        <v>0</v>
      </c>
      <c r="AI41" s="49" t="s">
        <v>89</v>
      </c>
      <c r="AJ41" s="37">
        <f t="shared" si="35"/>
        <v>0</v>
      </c>
      <c r="AK41" s="37">
        <f t="shared" si="36"/>
        <v>0</v>
      </c>
      <c r="AL41" s="37">
        <f t="shared" si="37"/>
        <v>0</v>
      </c>
      <c r="AN41" s="37">
        <v>21</v>
      </c>
      <c r="AO41" s="37">
        <f>G41*0</f>
        <v>0</v>
      </c>
      <c r="AP41" s="37">
        <f>G41*(1-0)</f>
        <v>0</v>
      </c>
      <c r="AQ41" s="72" t="s">
        <v>219</v>
      </c>
      <c r="AV41" s="37">
        <f t="shared" si="38"/>
        <v>0</v>
      </c>
      <c r="AW41" s="37">
        <f t="shared" si="39"/>
        <v>0</v>
      </c>
      <c r="AX41" s="37">
        <f t="shared" si="40"/>
        <v>0</v>
      </c>
      <c r="AY41" s="72" t="s">
        <v>284</v>
      </c>
      <c r="AZ41" s="72" t="s">
        <v>281</v>
      </c>
      <c r="BA41" s="49" t="s">
        <v>226</v>
      </c>
      <c r="BC41" s="37">
        <f t="shared" si="41"/>
        <v>0</v>
      </c>
      <c r="BD41" s="37">
        <f t="shared" si="42"/>
        <v>0</v>
      </c>
      <c r="BE41" s="37">
        <v>0</v>
      </c>
      <c r="BF41" s="37">
        <f>41</f>
        <v>41</v>
      </c>
      <c r="BH41" s="37">
        <f t="shared" si="43"/>
        <v>0</v>
      </c>
      <c r="BI41" s="37">
        <f t="shared" si="44"/>
        <v>0</v>
      </c>
      <c r="BJ41" s="37">
        <f t="shared" si="45"/>
        <v>0</v>
      </c>
      <c r="BK41" s="37"/>
      <c r="BL41" s="37">
        <v>27</v>
      </c>
      <c r="BW41" s="37">
        <v>21</v>
      </c>
      <c r="BX41" s="3" t="s">
        <v>289</v>
      </c>
    </row>
    <row r="42" spans="1:76" x14ac:dyDescent="0.25">
      <c r="A42" s="1" t="s">
        <v>290</v>
      </c>
      <c r="B42" s="2" t="s">
        <v>291</v>
      </c>
      <c r="C42" s="279" t="s">
        <v>292</v>
      </c>
      <c r="D42" s="280"/>
      <c r="E42" s="2" t="s">
        <v>222</v>
      </c>
      <c r="F42" s="37">
        <v>1.929</v>
      </c>
      <c r="G42" s="78">
        <v>0</v>
      </c>
      <c r="H42" s="37">
        <f t="shared" si="24"/>
        <v>0</v>
      </c>
      <c r="I42" s="37">
        <f t="shared" si="25"/>
        <v>0</v>
      </c>
      <c r="J42" s="37">
        <f t="shared" si="26"/>
        <v>0</v>
      </c>
      <c r="K42" s="79" t="s">
        <v>223</v>
      </c>
      <c r="Z42" s="37">
        <f t="shared" si="27"/>
        <v>0</v>
      </c>
      <c r="AB42" s="37">
        <f t="shared" si="28"/>
        <v>0</v>
      </c>
      <c r="AC42" s="37">
        <f t="shared" si="29"/>
        <v>0</v>
      </c>
      <c r="AD42" s="37">
        <f t="shared" si="30"/>
        <v>0</v>
      </c>
      <c r="AE42" s="37">
        <f t="shared" si="31"/>
        <v>0</v>
      </c>
      <c r="AF42" s="37">
        <f t="shared" si="32"/>
        <v>0</v>
      </c>
      <c r="AG42" s="37">
        <f t="shared" si="33"/>
        <v>0</v>
      </c>
      <c r="AH42" s="37">
        <f t="shared" si="34"/>
        <v>0</v>
      </c>
      <c r="AI42" s="49" t="s">
        <v>89</v>
      </c>
      <c r="AJ42" s="37">
        <f t="shared" si="35"/>
        <v>0</v>
      </c>
      <c r="AK42" s="37">
        <f t="shared" si="36"/>
        <v>0</v>
      </c>
      <c r="AL42" s="37">
        <f t="shared" si="37"/>
        <v>0</v>
      </c>
      <c r="AN42" s="37">
        <v>21</v>
      </c>
      <c r="AO42" s="37">
        <f>G42*0.907505618</f>
        <v>0</v>
      </c>
      <c r="AP42" s="37">
        <f>G42*(1-0.907505618)</f>
        <v>0</v>
      </c>
      <c r="AQ42" s="72" t="s">
        <v>219</v>
      </c>
      <c r="AV42" s="37">
        <f t="shared" si="38"/>
        <v>0</v>
      </c>
      <c r="AW42" s="37">
        <f t="shared" si="39"/>
        <v>0</v>
      </c>
      <c r="AX42" s="37">
        <f t="shared" si="40"/>
        <v>0</v>
      </c>
      <c r="AY42" s="72" t="s">
        <v>284</v>
      </c>
      <c r="AZ42" s="72" t="s">
        <v>281</v>
      </c>
      <c r="BA42" s="49" t="s">
        <v>226</v>
      </c>
      <c r="BC42" s="37">
        <f t="shared" si="41"/>
        <v>0</v>
      </c>
      <c r="BD42" s="37">
        <f t="shared" si="42"/>
        <v>0</v>
      </c>
      <c r="BE42" s="37">
        <v>0</v>
      </c>
      <c r="BF42" s="37">
        <f>42</f>
        <v>42</v>
      </c>
      <c r="BH42" s="37">
        <f t="shared" si="43"/>
        <v>0</v>
      </c>
      <c r="BI42" s="37">
        <f t="shared" si="44"/>
        <v>0</v>
      </c>
      <c r="BJ42" s="37">
        <f t="shared" si="45"/>
        <v>0</v>
      </c>
      <c r="BK42" s="37"/>
      <c r="BL42" s="37">
        <v>27</v>
      </c>
      <c r="BW42" s="37">
        <v>21</v>
      </c>
      <c r="BX42" s="3" t="s">
        <v>292</v>
      </c>
    </row>
    <row r="43" spans="1:76" x14ac:dyDescent="0.25">
      <c r="A43" s="1" t="s">
        <v>293</v>
      </c>
      <c r="B43" s="2" t="s">
        <v>294</v>
      </c>
      <c r="C43" s="279" t="s">
        <v>295</v>
      </c>
      <c r="D43" s="280"/>
      <c r="E43" s="2" t="s">
        <v>296</v>
      </c>
      <c r="F43" s="37">
        <v>0.44303999999999999</v>
      </c>
      <c r="G43" s="78">
        <v>0</v>
      </c>
      <c r="H43" s="37">
        <f t="shared" si="24"/>
        <v>0</v>
      </c>
      <c r="I43" s="37">
        <f t="shared" si="25"/>
        <v>0</v>
      </c>
      <c r="J43" s="37">
        <f t="shared" si="26"/>
        <v>0</v>
      </c>
      <c r="K43" s="79" t="s">
        <v>223</v>
      </c>
      <c r="Z43" s="37">
        <f t="shared" si="27"/>
        <v>0</v>
      </c>
      <c r="AB43" s="37">
        <f t="shared" si="28"/>
        <v>0</v>
      </c>
      <c r="AC43" s="37">
        <f t="shared" si="29"/>
        <v>0</v>
      </c>
      <c r="AD43" s="37">
        <f t="shared" si="30"/>
        <v>0</v>
      </c>
      <c r="AE43" s="37">
        <f t="shared" si="31"/>
        <v>0</v>
      </c>
      <c r="AF43" s="37">
        <f t="shared" si="32"/>
        <v>0</v>
      </c>
      <c r="AG43" s="37">
        <f t="shared" si="33"/>
        <v>0</v>
      </c>
      <c r="AH43" s="37">
        <f t="shared" si="34"/>
        <v>0</v>
      </c>
      <c r="AI43" s="49" t="s">
        <v>89</v>
      </c>
      <c r="AJ43" s="37">
        <f t="shared" si="35"/>
        <v>0</v>
      </c>
      <c r="AK43" s="37">
        <f t="shared" si="36"/>
        <v>0</v>
      </c>
      <c r="AL43" s="37">
        <f t="shared" si="37"/>
        <v>0</v>
      </c>
      <c r="AN43" s="37">
        <v>21</v>
      </c>
      <c r="AO43" s="37">
        <f>G43*0.799581187</f>
        <v>0</v>
      </c>
      <c r="AP43" s="37">
        <f>G43*(1-0.799581187)</f>
        <v>0</v>
      </c>
      <c r="AQ43" s="72" t="s">
        <v>219</v>
      </c>
      <c r="AV43" s="37">
        <f t="shared" si="38"/>
        <v>0</v>
      </c>
      <c r="AW43" s="37">
        <f t="shared" si="39"/>
        <v>0</v>
      </c>
      <c r="AX43" s="37">
        <f t="shared" si="40"/>
        <v>0</v>
      </c>
      <c r="AY43" s="72" t="s">
        <v>284</v>
      </c>
      <c r="AZ43" s="72" t="s">
        <v>281</v>
      </c>
      <c r="BA43" s="49" t="s">
        <v>226</v>
      </c>
      <c r="BC43" s="37">
        <f t="shared" si="41"/>
        <v>0</v>
      </c>
      <c r="BD43" s="37">
        <f t="shared" si="42"/>
        <v>0</v>
      </c>
      <c r="BE43" s="37">
        <v>0</v>
      </c>
      <c r="BF43" s="37">
        <f>43</f>
        <v>43</v>
      </c>
      <c r="BH43" s="37">
        <f t="shared" si="43"/>
        <v>0</v>
      </c>
      <c r="BI43" s="37">
        <f t="shared" si="44"/>
        <v>0</v>
      </c>
      <c r="BJ43" s="37">
        <f t="shared" si="45"/>
        <v>0</v>
      </c>
      <c r="BK43" s="37"/>
      <c r="BL43" s="37">
        <v>27</v>
      </c>
      <c r="BW43" s="37">
        <v>21</v>
      </c>
      <c r="BX43" s="3" t="s">
        <v>295</v>
      </c>
    </row>
    <row r="44" spans="1:76" x14ac:dyDescent="0.25">
      <c r="A44" s="1" t="s">
        <v>297</v>
      </c>
      <c r="B44" s="2" t="s">
        <v>298</v>
      </c>
      <c r="C44" s="279" t="s">
        <v>299</v>
      </c>
      <c r="D44" s="280"/>
      <c r="E44" s="2" t="s">
        <v>222</v>
      </c>
      <c r="F44" s="37">
        <v>0.23400000000000001</v>
      </c>
      <c r="G44" s="78">
        <v>0</v>
      </c>
      <c r="H44" s="37">
        <f t="shared" si="24"/>
        <v>0</v>
      </c>
      <c r="I44" s="37">
        <f t="shared" si="25"/>
        <v>0</v>
      </c>
      <c r="J44" s="37">
        <f t="shared" si="26"/>
        <v>0</v>
      </c>
      <c r="K44" s="79" t="s">
        <v>223</v>
      </c>
      <c r="Z44" s="37">
        <f t="shared" si="27"/>
        <v>0</v>
      </c>
      <c r="AB44" s="37">
        <f t="shared" si="28"/>
        <v>0</v>
      </c>
      <c r="AC44" s="37">
        <f t="shared" si="29"/>
        <v>0</v>
      </c>
      <c r="AD44" s="37">
        <f t="shared" si="30"/>
        <v>0</v>
      </c>
      <c r="AE44" s="37">
        <f t="shared" si="31"/>
        <v>0</v>
      </c>
      <c r="AF44" s="37">
        <f t="shared" si="32"/>
        <v>0</v>
      </c>
      <c r="AG44" s="37">
        <f t="shared" si="33"/>
        <v>0</v>
      </c>
      <c r="AH44" s="37">
        <f t="shared" si="34"/>
        <v>0</v>
      </c>
      <c r="AI44" s="49" t="s">
        <v>89</v>
      </c>
      <c r="AJ44" s="37">
        <f t="shared" si="35"/>
        <v>0</v>
      </c>
      <c r="AK44" s="37">
        <f t="shared" si="36"/>
        <v>0</v>
      </c>
      <c r="AL44" s="37">
        <f t="shared" si="37"/>
        <v>0</v>
      </c>
      <c r="AN44" s="37">
        <v>21</v>
      </c>
      <c r="AO44" s="37">
        <f>G44*0.684929299</f>
        <v>0</v>
      </c>
      <c r="AP44" s="37">
        <f>G44*(1-0.684929299)</f>
        <v>0</v>
      </c>
      <c r="AQ44" s="72" t="s">
        <v>219</v>
      </c>
      <c r="AV44" s="37">
        <f t="shared" si="38"/>
        <v>0</v>
      </c>
      <c r="AW44" s="37">
        <f t="shared" si="39"/>
        <v>0</v>
      </c>
      <c r="AX44" s="37">
        <f t="shared" si="40"/>
        <v>0</v>
      </c>
      <c r="AY44" s="72" t="s">
        <v>284</v>
      </c>
      <c r="AZ44" s="72" t="s">
        <v>281</v>
      </c>
      <c r="BA44" s="49" t="s">
        <v>226</v>
      </c>
      <c r="BC44" s="37">
        <f t="shared" si="41"/>
        <v>0</v>
      </c>
      <c r="BD44" s="37">
        <f t="shared" si="42"/>
        <v>0</v>
      </c>
      <c r="BE44" s="37">
        <v>0</v>
      </c>
      <c r="BF44" s="37">
        <f>44</f>
        <v>44</v>
      </c>
      <c r="BH44" s="37">
        <f t="shared" si="43"/>
        <v>0</v>
      </c>
      <c r="BI44" s="37">
        <f t="shared" si="44"/>
        <v>0</v>
      </c>
      <c r="BJ44" s="37">
        <f t="shared" si="45"/>
        <v>0</v>
      </c>
      <c r="BK44" s="37"/>
      <c r="BL44" s="37">
        <v>27</v>
      </c>
      <c r="BW44" s="37">
        <v>21</v>
      </c>
      <c r="BX44" s="3" t="s">
        <v>299</v>
      </c>
    </row>
    <row r="45" spans="1:76" x14ac:dyDescent="0.25">
      <c r="A45" s="1" t="s">
        <v>300</v>
      </c>
      <c r="B45" s="2" t="s">
        <v>301</v>
      </c>
      <c r="C45" s="279" t="s">
        <v>302</v>
      </c>
      <c r="D45" s="280"/>
      <c r="E45" s="2" t="s">
        <v>222</v>
      </c>
      <c r="F45" s="37">
        <v>0.72</v>
      </c>
      <c r="G45" s="78">
        <v>0</v>
      </c>
      <c r="H45" s="37">
        <f t="shared" si="24"/>
        <v>0</v>
      </c>
      <c r="I45" s="37">
        <f t="shared" si="25"/>
        <v>0</v>
      </c>
      <c r="J45" s="37">
        <f t="shared" si="26"/>
        <v>0</v>
      </c>
      <c r="K45" s="79" t="s">
        <v>223</v>
      </c>
      <c r="Z45" s="37">
        <f t="shared" si="27"/>
        <v>0</v>
      </c>
      <c r="AB45" s="37">
        <f t="shared" si="28"/>
        <v>0</v>
      </c>
      <c r="AC45" s="37">
        <f t="shared" si="29"/>
        <v>0</v>
      </c>
      <c r="AD45" s="37">
        <f t="shared" si="30"/>
        <v>0</v>
      </c>
      <c r="AE45" s="37">
        <f t="shared" si="31"/>
        <v>0</v>
      </c>
      <c r="AF45" s="37">
        <f t="shared" si="32"/>
        <v>0</v>
      </c>
      <c r="AG45" s="37">
        <f t="shared" si="33"/>
        <v>0</v>
      </c>
      <c r="AH45" s="37">
        <f t="shared" si="34"/>
        <v>0</v>
      </c>
      <c r="AI45" s="49" t="s">
        <v>89</v>
      </c>
      <c r="AJ45" s="37">
        <f t="shared" si="35"/>
        <v>0</v>
      </c>
      <c r="AK45" s="37">
        <f t="shared" si="36"/>
        <v>0</v>
      </c>
      <c r="AL45" s="37">
        <f t="shared" si="37"/>
        <v>0</v>
      </c>
      <c r="AN45" s="37">
        <v>21</v>
      </c>
      <c r="AO45" s="37">
        <f>G45*0.920304443</f>
        <v>0</v>
      </c>
      <c r="AP45" s="37">
        <f>G45*(1-0.920304443)</f>
        <v>0</v>
      </c>
      <c r="AQ45" s="72" t="s">
        <v>219</v>
      </c>
      <c r="AV45" s="37">
        <f t="shared" si="38"/>
        <v>0</v>
      </c>
      <c r="AW45" s="37">
        <f t="shared" si="39"/>
        <v>0</v>
      </c>
      <c r="AX45" s="37">
        <f t="shared" si="40"/>
        <v>0</v>
      </c>
      <c r="AY45" s="72" t="s">
        <v>284</v>
      </c>
      <c r="AZ45" s="72" t="s">
        <v>281</v>
      </c>
      <c r="BA45" s="49" t="s">
        <v>226</v>
      </c>
      <c r="BC45" s="37">
        <f t="shared" si="41"/>
        <v>0</v>
      </c>
      <c r="BD45" s="37">
        <f t="shared" si="42"/>
        <v>0</v>
      </c>
      <c r="BE45" s="37">
        <v>0</v>
      </c>
      <c r="BF45" s="37">
        <f>45</f>
        <v>45</v>
      </c>
      <c r="BH45" s="37">
        <f t="shared" si="43"/>
        <v>0</v>
      </c>
      <c r="BI45" s="37">
        <f t="shared" si="44"/>
        <v>0</v>
      </c>
      <c r="BJ45" s="37">
        <f t="shared" si="45"/>
        <v>0</v>
      </c>
      <c r="BK45" s="37"/>
      <c r="BL45" s="37">
        <v>27</v>
      </c>
      <c r="BW45" s="37">
        <v>21</v>
      </c>
      <c r="BX45" s="3" t="s">
        <v>302</v>
      </c>
    </row>
    <row r="46" spans="1:76" x14ac:dyDescent="0.25">
      <c r="A46" s="1" t="s">
        <v>303</v>
      </c>
      <c r="B46" s="2" t="s">
        <v>304</v>
      </c>
      <c r="C46" s="279" t="s">
        <v>305</v>
      </c>
      <c r="D46" s="280"/>
      <c r="E46" s="2" t="s">
        <v>222</v>
      </c>
      <c r="F46" s="37">
        <v>0.80130999999999997</v>
      </c>
      <c r="G46" s="78">
        <v>0</v>
      </c>
      <c r="H46" s="37">
        <f t="shared" si="24"/>
        <v>0</v>
      </c>
      <c r="I46" s="37">
        <f t="shared" si="25"/>
        <v>0</v>
      </c>
      <c r="J46" s="37">
        <f t="shared" si="26"/>
        <v>0</v>
      </c>
      <c r="K46" s="79" t="s">
        <v>223</v>
      </c>
      <c r="Z46" s="37">
        <f t="shared" si="27"/>
        <v>0</v>
      </c>
      <c r="AB46" s="37">
        <f t="shared" si="28"/>
        <v>0</v>
      </c>
      <c r="AC46" s="37">
        <f t="shared" si="29"/>
        <v>0</v>
      </c>
      <c r="AD46" s="37">
        <f t="shared" si="30"/>
        <v>0</v>
      </c>
      <c r="AE46" s="37">
        <f t="shared" si="31"/>
        <v>0</v>
      </c>
      <c r="AF46" s="37">
        <f t="shared" si="32"/>
        <v>0</v>
      </c>
      <c r="AG46" s="37">
        <f t="shared" si="33"/>
        <v>0</v>
      </c>
      <c r="AH46" s="37">
        <f t="shared" si="34"/>
        <v>0</v>
      </c>
      <c r="AI46" s="49" t="s">
        <v>89</v>
      </c>
      <c r="AJ46" s="37">
        <f t="shared" si="35"/>
        <v>0</v>
      </c>
      <c r="AK46" s="37">
        <f t="shared" si="36"/>
        <v>0</v>
      </c>
      <c r="AL46" s="37">
        <f t="shared" si="37"/>
        <v>0</v>
      </c>
      <c r="AN46" s="37">
        <v>21</v>
      </c>
      <c r="AO46" s="37">
        <f>G46*0.671310324</f>
        <v>0</v>
      </c>
      <c r="AP46" s="37">
        <f>G46*(1-0.671310324)</f>
        <v>0</v>
      </c>
      <c r="AQ46" s="72" t="s">
        <v>219</v>
      </c>
      <c r="AV46" s="37">
        <f t="shared" si="38"/>
        <v>0</v>
      </c>
      <c r="AW46" s="37">
        <f t="shared" si="39"/>
        <v>0</v>
      </c>
      <c r="AX46" s="37">
        <f t="shared" si="40"/>
        <v>0</v>
      </c>
      <c r="AY46" s="72" t="s">
        <v>284</v>
      </c>
      <c r="AZ46" s="72" t="s">
        <v>281</v>
      </c>
      <c r="BA46" s="49" t="s">
        <v>226</v>
      </c>
      <c r="BC46" s="37">
        <f t="shared" si="41"/>
        <v>0</v>
      </c>
      <c r="BD46" s="37">
        <f t="shared" si="42"/>
        <v>0</v>
      </c>
      <c r="BE46" s="37">
        <v>0</v>
      </c>
      <c r="BF46" s="37">
        <f>46</f>
        <v>46</v>
      </c>
      <c r="BH46" s="37">
        <f t="shared" si="43"/>
        <v>0</v>
      </c>
      <c r="BI46" s="37">
        <f t="shared" si="44"/>
        <v>0</v>
      </c>
      <c r="BJ46" s="37">
        <f t="shared" si="45"/>
        <v>0</v>
      </c>
      <c r="BK46" s="37"/>
      <c r="BL46" s="37">
        <v>27</v>
      </c>
      <c r="BW46" s="37">
        <v>21</v>
      </c>
      <c r="BX46" s="3" t="s">
        <v>305</v>
      </c>
    </row>
    <row r="47" spans="1:76" x14ac:dyDescent="0.25">
      <c r="A47" s="1" t="s">
        <v>105</v>
      </c>
      <c r="B47" s="2" t="s">
        <v>306</v>
      </c>
      <c r="C47" s="279" t="s">
        <v>307</v>
      </c>
      <c r="D47" s="280"/>
      <c r="E47" s="2" t="s">
        <v>222</v>
      </c>
      <c r="F47" s="37">
        <v>0.17671000000000001</v>
      </c>
      <c r="G47" s="78">
        <v>0</v>
      </c>
      <c r="H47" s="37">
        <f t="shared" si="24"/>
        <v>0</v>
      </c>
      <c r="I47" s="37">
        <f t="shared" si="25"/>
        <v>0</v>
      </c>
      <c r="J47" s="37">
        <f t="shared" si="26"/>
        <v>0</v>
      </c>
      <c r="K47" s="79" t="s">
        <v>223</v>
      </c>
      <c r="Z47" s="37">
        <f t="shared" si="27"/>
        <v>0</v>
      </c>
      <c r="AB47" s="37">
        <f t="shared" si="28"/>
        <v>0</v>
      </c>
      <c r="AC47" s="37">
        <f t="shared" si="29"/>
        <v>0</v>
      </c>
      <c r="AD47" s="37">
        <f t="shared" si="30"/>
        <v>0</v>
      </c>
      <c r="AE47" s="37">
        <f t="shared" si="31"/>
        <v>0</v>
      </c>
      <c r="AF47" s="37">
        <f t="shared" si="32"/>
        <v>0</v>
      </c>
      <c r="AG47" s="37">
        <f t="shared" si="33"/>
        <v>0</v>
      </c>
      <c r="AH47" s="37">
        <f t="shared" si="34"/>
        <v>0</v>
      </c>
      <c r="AI47" s="49" t="s">
        <v>89</v>
      </c>
      <c r="AJ47" s="37">
        <f t="shared" si="35"/>
        <v>0</v>
      </c>
      <c r="AK47" s="37">
        <f t="shared" si="36"/>
        <v>0</v>
      </c>
      <c r="AL47" s="37">
        <f t="shared" si="37"/>
        <v>0</v>
      </c>
      <c r="AN47" s="37">
        <v>21</v>
      </c>
      <c r="AO47" s="37">
        <f>G47*0.702999002</f>
        <v>0</v>
      </c>
      <c r="AP47" s="37">
        <f>G47*(1-0.702999002)</f>
        <v>0</v>
      </c>
      <c r="AQ47" s="72" t="s">
        <v>219</v>
      </c>
      <c r="AV47" s="37">
        <f t="shared" si="38"/>
        <v>0</v>
      </c>
      <c r="AW47" s="37">
        <f t="shared" si="39"/>
        <v>0</v>
      </c>
      <c r="AX47" s="37">
        <f t="shared" si="40"/>
        <v>0</v>
      </c>
      <c r="AY47" s="72" t="s">
        <v>284</v>
      </c>
      <c r="AZ47" s="72" t="s">
        <v>281</v>
      </c>
      <c r="BA47" s="49" t="s">
        <v>226</v>
      </c>
      <c r="BC47" s="37">
        <f t="shared" si="41"/>
        <v>0</v>
      </c>
      <c r="BD47" s="37">
        <f t="shared" si="42"/>
        <v>0</v>
      </c>
      <c r="BE47" s="37">
        <v>0</v>
      </c>
      <c r="BF47" s="37">
        <f>47</f>
        <v>47</v>
      </c>
      <c r="BH47" s="37">
        <f t="shared" si="43"/>
        <v>0</v>
      </c>
      <c r="BI47" s="37">
        <f t="shared" si="44"/>
        <v>0</v>
      </c>
      <c r="BJ47" s="37">
        <f t="shared" si="45"/>
        <v>0</v>
      </c>
      <c r="BK47" s="37"/>
      <c r="BL47" s="37">
        <v>27</v>
      </c>
      <c r="BW47" s="37">
        <v>21</v>
      </c>
      <c r="BX47" s="3" t="s">
        <v>307</v>
      </c>
    </row>
    <row r="48" spans="1:76" x14ac:dyDescent="0.25">
      <c r="A48" s="80" t="s">
        <v>4</v>
      </c>
      <c r="B48" s="81" t="s">
        <v>107</v>
      </c>
      <c r="C48" s="365" t="s">
        <v>108</v>
      </c>
      <c r="D48" s="366"/>
      <c r="E48" s="82" t="s">
        <v>81</v>
      </c>
      <c r="F48" s="82" t="s">
        <v>81</v>
      </c>
      <c r="G48" s="83" t="s">
        <v>81</v>
      </c>
      <c r="H48" s="43">
        <f>SUM(H49:H49)</f>
        <v>0</v>
      </c>
      <c r="I48" s="43">
        <f>SUM(I49:I49)</f>
        <v>0</v>
      </c>
      <c r="J48" s="43">
        <f>SUM(J49:J49)</f>
        <v>0</v>
      </c>
      <c r="K48" s="84" t="s">
        <v>4</v>
      </c>
      <c r="AI48" s="49" t="s">
        <v>89</v>
      </c>
      <c r="AS48" s="43">
        <f>SUM(AJ49:AJ49)</f>
        <v>0</v>
      </c>
      <c r="AT48" s="43">
        <f>SUM(AK49:AK49)</f>
        <v>0</v>
      </c>
      <c r="AU48" s="43">
        <f>SUM(AL49:AL49)</f>
        <v>0</v>
      </c>
    </row>
    <row r="49" spans="1:76" x14ac:dyDescent="0.25">
      <c r="A49" s="1" t="s">
        <v>107</v>
      </c>
      <c r="B49" s="2" t="s">
        <v>308</v>
      </c>
      <c r="C49" s="279" t="s">
        <v>309</v>
      </c>
      <c r="D49" s="280"/>
      <c r="E49" s="2" t="s">
        <v>249</v>
      </c>
      <c r="F49" s="37">
        <v>62.768999999999998</v>
      </c>
      <c r="G49" s="78">
        <v>0</v>
      </c>
      <c r="H49" s="37">
        <f>F49*AO49</f>
        <v>0</v>
      </c>
      <c r="I49" s="37">
        <f>F49*AP49</f>
        <v>0</v>
      </c>
      <c r="J49" s="37">
        <f>F49*G49</f>
        <v>0</v>
      </c>
      <c r="K49" s="79" t="s">
        <v>223</v>
      </c>
      <c r="Z49" s="37">
        <f>IF(AQ49="5",BJ49,0)</f>
        <v>0</v>
      </c>
      <c r="AB49" s="37">
        <f>IF(AQ49="1",BH49,0)</f>
        <v>0</v>
      </c>
      <c r="AC49" s="37">
        <f>IF(AQ49="1",BI49,0)</f>
        <v>0</v>
      </c>
      <c r="AD49" s="37">
        <f>IF(AQ49="7",BH49,0)</f>
        <v>0</v>
      </c>
      <c r="AE49" s="37">
        <f>IF(AQ49="7",BI49,0)</f>
        <v>0</v>
      </c>
      <c r="AF49" s="37">
        <f>IF(AQ49="2",BH49,0)</f>
        <v>0</v>
      </c>
      <c r="AG49" s="37">
        <f>IF(AQ49="2",BI49,0)</f>
        <v>0</v>
      </c>
      <c r="AH49" s="37">
        <f>IF(AQ49="0",BJ49,0)</f>
        <v>0</v>
      </c>
      <c r="AI49" s="49" t="s">
        <v>89</v>
      </c>
      <c r="AJ49" s="37">
        <f>IF(AN49=0,J49,0)</f>
        <v>0</v>
      </c>
      <c r="AK49" s="37">
        <f>IF(AN49=12,J49,0)</f>
        <v>0</v>
      </c>
      <c r="AL49" s="37">
        <f>IF(AN49=21,J49,0)</f>
        <v>0</v>
      </c>
      <c r="AN49" s="37">
        <v>21</v>
      </c>
      <c r="AO49" s="37">
        <f>G49*0.281098852</f>
        <v>0</v>
      </c>
      <c r="AP49" s="37">
        <f>G49*(1-0.281098852)</f>
        <v>0</v>
      </c>
      <c r="AQ49" s="72" t="s">
        <v>219</v>
      </c>
      <c r="AV49" s="37">
        <f>AW49+AX49</f>
        <v>0</v>
      </c>
      <c r="AW49" s="37">
        <f>F49*AO49</f>
        <v>0</v>
      </c>
      <c r="AX49" s="37">
        <f>F49*AP49</f>
        <v>0</v>
      </c>
      <c r="AY49" s="72" t="s">
        <v>310</v>
      </c>
      <c r="AZ49" s="72" t="s">
        <v>281</v>
      </c>
      <c r="BA49" s="49" t="s">
        <v>226</v>
      </c>
      <c r="BC49" s="37">
        <f>AW49+AX49</f>
        <v>0</v>
      </c>
      <c r="BD49" s="37">
        <f>G49/(100-BE49)*100</f>
        <v>0</v>
      </c>
      <c r="BE49" s="37">
        <v>0</v>
      </c>
      <c r="BF49" s="37">
        <f>49</f>
        <v>49</v>
      </c>
      <c r="BH49" s="37">
        <f>F49*AO49</f>
        <v>0</v>
      </c>
      <c r="BI49" s="37">
        <f>F49*AP49</f>
        <v>0</v>
      </c>
      <c r="BJ49" s="37">
        <f>F49*G49</f>
        <v>0</v>
      </c>
      <c r="BK49" s="37"/>
      <c r="BL49" s="37">
        <v>28</v>
      </c>
      <c r="BW49" s="37">
        <v>21</v>
      </c>
      <c r="BX49" s="3" t="s">
        <v>309</v>
      </c>
    </row>
    <row r="50" spans="1:76" x14ac:dyDescent="0.25">
      <c r="A50" s="80" t="s">
        <v>4</v>
      </c>
      <c r="B50" s="81" t="s">
        <v>109</v>
      </c>
      <c r="C50" s="365" t="s">
        <v>110</v>
      </c>
      <c r="D50" s="366"/>
      <c r="E50" s="82" t="s">
        <v>81</v>
      </c>
      <c r="F50" s="82" t="s">
        <v>81</v>
      </c>
      <c r="G50" s="83" t="s">
        <v>81</v>
      </c>
      <c r="H50" s="43">
        <f>SUM(H51:H62)</f>
        <v>0</v>
      </c>
      <c r="I50" s="43">
        <f>SUM(I51:I62)</f>
        <v>0</v>
      </c>
      <c r="J50" s="43">
        <f>SUM(J51:J62)</f>
        <v>0</v>
      </c>
      <c r="K50" s="84" t="s">
        <v>4</v>
      </c>
      <c r="AI50" s="49" t="s">
        <v>89</v>
      </c>
      <c r="AS50" s="43">
        <f>SUM(AJ51:AJ62)</f>
        <v>0</v>
      </c>
      <c r="AT50" s="43">
        <f>SUM(AK51:AK62)</f>
        <v>0</v>
      </c>
      <c r="AU50" s="43">
        <f>SUM(AL51:AL62)</f>
        <v>0</v>
      </c>
    </row>
    <row r="51" spans="1:76" x14ac:dyDescent="0.25">
      <c r="A51" s="1" t="s">
        <v>311</v>
      </c>
      <c r="B51" s="2" t="s">
        <v>312</v>
      </c>
      <c r="C51" s="279" t="s">
        <v>313</v>
      </c>
      <c r="D51" s="280"/>
      <c r="E51" s="2" t="s">
        <v>296</v>
      </c>
      <c r="F51" s="37">
        <v>0.11024</v>
      </c>
      <c r="G51" s="78">
        <v>0</v>
      </c>
      <c r="H51" s="37">
        <f t="shared" ref="H51:H62" si="46">F51*AO51</f>
        <v>0</v>
      </c>
      <c r="I51" s="37">
        <f t="shared" ref="I51:I62" si="47">F51*AP51</f>
        <v>0</v>
      </c>
      <c r="J51" s="37">
        <f t="shared" ref="J51:J62" si="48">F51*G51</f>
        <v>0</v>
      </c>
      <c r="K51" s="79" t="s">
        <v>223</v>
      </c>
      <c r="Z51" s="37">
        <f t="shared" ref="Z51:Z62" si="49">IF(AQ51="5",BJ51,0)</f>
        <v>0</v>
      </c>
      <c r="AB51" s="37">
        <f t="shared" ref="AB51:AB62" si="50">IF(AQ51="1",BH51,0)</f>
        <v>0</v>
      </c>
      <c r="AC51" s="37">
        <f t="shared" ref="AC51:AC62" si="51">IF(AQ51="1",BI51,0)</f>
        <v>0</v>
      </c>
      <c r="AD51" s="37">
        <f t="shared" ref="AD51:AD62" si="52">IF(AQ51="7",BH51,0)</f>
        <v>0</v>
      </c>
      <c r="AE51" s="37">
        <f t="shared" ref="AE51:AE62" si="53">IF(AQ51="7",BI51,0)</f>
        <v>0</v>
      </c>
      <c r="AF51" s="37">
        <f t="shared" ref="AF51:AF62" si="54">IF(AQ51="2",BH51,0)</f>
        <v>0</v>
      </c>
      <c r="AG51" s="37">
        <f t="shared" ref="AG51:AG62" si="55">IF(AQ51="2",BI51,0)</f>
        <v>0</v>
      </c>
      <c r="AH51" s="37">
        <f t="shared" ref="AH51:AH62" si="56">IF(AQ51="0",BJ51,0)</f>
        <v>0</v>
      </c>
      <c r="AI51" s="49" t="s">
        <v>89</v>
      </c>
      <c r="AJ51" s="37">
        <f t="shared" ref="AJ51:AJ62" si="57">IF(AN51=0,J51,0)</f>
        <v>0</v>
      </c>
      <c r="AK51" s="37">
        <f t="shared" ref="AK51:AK62" si="58">IF(AN51=12,J51,0)</f>
        <v>0</v>
      </c>
      <c r="AL51" s="37">
        <f t="shared" ref="AL51:AL62" si="59">IF(AN51=21,J51,0)</f>
        <v>0</v>
      </c>
      <c r="AN51" s="37">
        <v>21</v>
      </c>
      <c r="AO51" s="37">
        <f>G51*0.001831404</f>
        <v>0</v>
      </c>
      <c r="AP51" s="37">
        <f>G51*(1-0.001831404)</f>
        <v>0</v>
      </c>
      <c r="AQ51" s="72" t="s">
        <v>219</v>
      </c>
      <c r="AV51" s="37">
        <f t="shared" ref="AV51:AV62" si="60">AW51+AX51</f>
        <v>0</v>
      </c>
      <c r="AW51" s="37">
        <f t="shared" ref="AW51:AW62" si="61">F51*AO51</f>
        <v>0</v>
      </c>
      <c r="AX51" s="37">
        <f t="shared" ref="AX51:AX62" si="62">F51*AP51</f>
        <v>0</v>
      </c>
      <c r="AY51" s="72" t="s">
        <v>314</v>
      </c>
      <c r="AZ51" s="72" t="s">
        <v>315</v>
      </c>
      <c r="BA51" s="49" t="s">
        <v>226</v>
      </c>
      <c r="BC51" s="37">
        <f t="shared" ref="BC51:BC62" si="63">AW51+AX51</f>
        <v>0</v>
      </c>
      <c r="BD51" s="37">
        <f t="shared" ref="BD51:BD62" si="64">G51/(100-BE51)*100</f>
        <v>0</v>
      </c>
      <c r="BE51" s="37">
        <v>0</v>
      </c>
      <c r="BF51" s="37">
        <f>51</f>
        <v>51</v>
      </c>
      <c r="BH51" s="37">
        <f t="shared" ref="BH51:BH62" si="65">F51*AO51</f>
        <v>0</v>
      </c>
      <c r="BI51" s="37">
        <f t="shared" ref="BI51:BI62" si="66">F51*AP51</f>
        <v>0</v>
      </c>
      <c r="BJ51" s="37">
        <f t="shared" ref="BJ51:BJ62" si="67">F51*G51</f>
        <v>0</v>
      </c>
      <c r="BK51" s="37"/>
      <c r="BL51" s="37">
        <v>31</v>
      </c>
      <c r="BW51" s="37">
        <v>21</v>
      </c>
      <c r="BX51" s="3" t="s">
        <v>313</v>
      </c>
    </row>
    <row r="52" spans="1:76" x14ac:dyDescent="0.25">
      <c r="A52" s="1" t="s">
        <v>316</v>
      </c>
      <c r="B52" s="2" t="s">
        <v>317</v>
      </c>
      <c r="C52" s="279" t="s">
        <v>318</v>
      </c>
      <c r="D52" s="280"/>
      <c r="E52" s="2" t="s">
        <v>296</v>
      </c>
      <c r="F52" s="37">
        <v>0.11906</v>
      </c>
      <c r="G52" s="78">
        <v>0</v>
      </c>
      <c r="H52" s="37">
        <f t="shared" si="46"/>
        <v>0</v>
      </c>
      <c r="I52" s="37">
        <f t="shared" si="47"/>
        <v>0</v>
      </c>
      <c r="J52" s="37">
        <f t="shared" si="48"/>
        <v>0</v>
      </c>
      <c r="K52" s="79" t="s">
        <v>223</v>
      </c>
      <c r="Z52" s="37">
        <f t="shared" si="49"/>
        <v>0</v>
      </c>
      <c r="AB52" s="37">
        <f t="shared" si="50"/>
        <v>0</v>
      </c>
      <c r="AC52" s="37">
        <f t="shared" si="51"/>
        <v>0</v>
      </c>
      <c r="AD52" s="37">
        <f t="shared" si="52"/>
        <v>0</v>
      </c>
      <c r="AE52" s="37">
        <f t="shared" si="53"/>
        <v>0</v>
      </c>
      <c r="AF52" s="37">
        <f t="shared" si="54"/>
        <v>0</v>
      </c>
      <c r="AG52" s="37">
        <f t="shared" si="55"/>
        <v>0</v>
      </c>
      <c r="AH52" s="37">
        <f t="shared" si="56"/>
        <v>0</v>
      </c>
      <c r="AI52" s="49" t="s">
        <v>89</v>
      </c>
      <c r="AJ52" s="37">
        <f t="shared" si="57"/>
        <v>0</v>
      </c>
      <c r="AK52" s="37">
        <f t="shared" si="58"/>
        <v>0</v>
      </c>
      <c r="AL52" s="37">
        <f t="shared" si="59"/>
        <v>0</v>
      </c>
      <c r="AN52" s="37">
        <v>21</v>
      </c>
      <c r="AO52" s="37">
        <f>G52*1</f>
        <v>0</v>
      </c>
      <c r="AP52" s="37">
        <f>G52*(1-1)</f>
        <v>0</v>
      </c>
      <c r="AQ52" s="72" t="s">
        <v>219</v>
      </c>
      <c r="AV52" s="37">
        <f t="shared" si="60"/>
        <v>0</v>
      </c>
      <c r="AW52" s="37">
        <f t="shared" si="61"/>
        <v>0</v>
      </c>
      <c r="AX52" s="37">
        <f t="shared" si="62"/>
        <v>0</v>
      </c>
      <c r="AY52" s="72" t="s">
        <v>314</v>
      </c>
      <c r="AZ52" s="72" t="s">
        <v>315</v>
      </c>
      <c r="BA52" s="49" t="s">
        <v>226</v>
      </c>
      <c r="BC52" s="37">
        <f t="shared" si="63"/>
        <v>0</v>
      </c>
      <c r="BD52" s="37">
        <f t="shared" si="64"/>
        <v>0</v>
      </c>
      <c r="BE52" s="37">
        <v>0</v>
      </c>
      <c r="BF52" s="37">
        <f>52</f>
        <v>52</v>
      </c>
      <c r="BH52" s="37">
        <f t="shared" si="65"/>
        <v>0</v>
      </c>
      <c r="BI52" s="37">
        <f t="shared" si="66"/>
        <v>0</v>
      </c>
      <c r="BJ52" s="37">
        <f t="shared" si="67"/>
        <v>0</v>
      </c>
      <c r="BK52" s="37"/>
      <c r="BL52" s="37">
        <v>31</v>
      </c>
      <c r="BW52" s="37">
        <v>21</v>
      </c>
      <c r="BX52" s="3" t="s">
        <v>318</v>
      </c>
    </row>
    <row r="53" spans="1:76" x14ac:dyDescent="0.25">
      <c r="A53" s="1" t="s">
        <v>109</v>
      </c>
      <c r="B53" s="2" t="s">
        <v>319</v>
      </c>
      <c r="C53" s="279" t="s">
        <v>320</v>
      </c>
      <c r="D53" s="280"/>
      <c r="E53" s="2" t="s">
        <v>296</v>
      </c>
      <c r="F53" s="37">
        <v>0.40376000000000001</v>
      </c>
      <c r="G53" s="78">
        <v>0</v>
      </c>
      <c r="H53" s="37">
        <f t="shared" si="46"/>
        <v>0</v>
      </c>
      <c r="I53" s="37">
        <f t="shared" si="47"/>
        <v>0</v>
      </c>
      <c r="J53" s="37">
        <f t="shared" si="48"/>
        <v>0</v>
      </c>
      <c r="K53" s="79" t="s">
        <v>223</v>
      </c>
      <c r="Z53" s="37">
        <f t="shared" si="49"/>
        <v>0</v>
      </c>
      <c r="AB53" s="37">
        <f t="shared" si="50"/>
        <v>0</v>
      </c>
      <c r="AC53" s="37">
        <f t="shared" si="51"/>
        <v>0</v>
      </c>
      <c r="AD53" s="37">
        <f t="shared" si="52"/>
        <v>0</v>
      </c>
      <c r="AE53" s="37">
        <f t="shared" si="53"/>
        <v>0</v>
      </c>
      <c r="AF53" s="37">
        <f t="shared" si="54"/>
        <v>0</v>
      </c>
      <c r="AG53" s="37">
        <f t="shared" si="55"/>
        <v>0</v>
      </c>
      <c r="AH53" s="37">
        <f t="shared" si="56"/>
        <v>0</v>
      </c>
      <c r="AI53" s="49" t="s">
        <v>89</v>
      </c>
      <c r="AJ53" s="37">
        <f t="shared" si="57"/>
        <v>0</v>
      </c>
      <c r="AK53" s="37">
        <f t="shared" si="58"/>
        <v>0</v>
      </c>
      <c r="AL53" s="37">
        <f t="shared" si="59"/>
        <v>0</v>
      </c>
      <c r="AN53" s="37">
        <v>21</v>
      </c>
      <c r="AO53" s="37">
        <f>G53*0.001748522</f>
        <v>0</v>
      </c>
      <c r="AP53" s="37">
        <f>G53*(1-0.001748522)</f>
        <v>0</v>
      </c>
      <c r="AQ53" s="72" t="s">
        <v>219</v>
      </c>
      <c r="AV53" s="37">
        <f t="shared" si="60"/>
        <v>0</v>
      </c>
      <c r="AW53" s="37">
        <f t="shared" si="61"/>
        <v>0</v>
      </c>
      <c r="AX53" s="37">
        <f t="shared" si="62"/>
        <v>0</v>
      </c>
      <c r="AY53" s="72" t="s">
        <v>314</v>
      </c>
      <c r="AZ53" s="72" t="s">
        <v>315</v>
      </c>
      <c r="BA53" s="49" t="s">
        <v>226</v>
      </c>
      <c r="BC53" s="37">
        <f t="shared" si="63"/>
        <v>0</v>
      </c>
      <c r="BD53" s="37">
        <f t="shared" si="64"/>
        <v>0</v>
      </c>
      <c r="BE53" s="37">
        <v>0</v>
      </c>
      <c r="BF53" s="37">
        <f>53</f>
        <v>53</v>
      </c>
      <c r="BH53" s="37">
        <f t="shared" si="65"/>
        <v>0</v>
      </c>
      <c r="BI53" s="37">
        <f t="shared" si="66"/>
        <v>0</v>
      </c>
      <c r="BJ53" s="37">
        <f t="shared" si="67"/>
        <v>0</v>
      </c>
      <c r="BK53" s="37"/>
      <c r="BL53" s="37">
        <v>31</v>
      </c>
      <c r="BW53" s="37">
        <v>21</v>
      </c>
      <c r="BX53" s="3" t="s">
        <v>320</v>
      </c>
    </row>
    <row r="54" spans="1:76" x14ac:dyDescent="0.25">
      <c r="A54" s="1" t="s">
        <v>321</v>
      </c>
      <c r="B54" s="2" t="s">
        <v>322</v>
      </c>
      <c r="C54" s="279" t="s">
        <v>323</v>
      </c>
      <c r="D54" s="280"/>
      <c r="E54" s="2" t="s">
        <v>296</v>
      </c>
      <c r="F54" s="37">
        <v>0.43606</v>
      </c>
      <c r="G54" s="78">
        <v>0</v>
      </c>
      <c r="H54" s="37">
        <f t="shared" si="46"/>
        <v>0</v>
      </c>
      <c r="I54" s="37">
        <f t="shared" si="47"/>
        <v>0</v>
      </c>
      <c r="J54" s="37">
        <f t="shared" si="48"/>
        <v>0</v>
      </c>
      <c r="K54" s="79" t="s">
        <v>223</v>
      </c>
      <c r="Z54" s="37">
        <f t="shared" si="49"/>
        <v>0</v>
      </c>
      <c r="AB54" s="37">
        <f t="shared" si="50"/>
        <v>0</v>
      </c>
      <c r="AC54" s="37">
        <f t="shared" si="51"/>
        <v>0</v>
      </c>
      <c r="AD54" s="37">
        <f t="shared" si="52"/>
        <v>0</v>
      </c>
      <c r="AE54" s="37">
        <f t="shared" si="53"/>
        <v>0</v>
      </c>
      <c r="AF54" s="37">
        <f t="shared" si="54"/>
        <v>0</v>
      </c>
      <c r="AG54" s="37">
        <f t="shared" si="55"/>
        <v>0</v>
      </c>
      <c r="AH54" s="37">
        <f t="shared" si="56"/>
        <v>0</v>
      </c>
      <c r="AI54" s="49" t="s">
        <v>89</v>
      </c>
      <c r="AJ54" s="37">
        <f t="shared" si="57"/>
        <v>0</v>
      </c>
      <c r="AK54" s="37">
        <f t="shared" si="58"/>
        <v>0</v>
      </c>
      <c r="AL54" s="37">
        <f t="shared" si="59"/>
        <v>0</v>
      </c>
      <c r="AN54" s="37">
        <v>21</v>
      </c>
      <c r="AO54" s="37">
        <f>G54*1</f>
        <v>0</v>
      </c>
      <c r="AP54" s="37">
        <f>G54*(1-1)</f>
        <v>0</v>
      </c>
      <c r="AQ54" s="72" t="s">
        <v>219</v>
      </c>
      <c r="AV54" s="37">
        <f t="shared" si="60"/>
        <v>0</v>
      </c>
      <c r="AW54" s="37">
        <f t="shared" si="61"/>
        <v>0</v>
      </c>
      <c r="AX54" s="37">
        <f t="shared" si="62"/>
        <v>0</v>
      </c>
      <c r="AY54" s="72" t="s">
        <v>314</v>
      </c>
      <c r="AZ54" s="72" t="s">
        <v>315</v>
      </c>
      <c r="BA54" s="49" t="s">
        <v>226</v>
      </c>
      <c r="BC54" s="37">
        <f t="shared" si="63"/>
        <v>0</v>
      </c>
      <c r="BD54" s="37">
        <f t="shared" si="64"/>
        <v>0</v>
      </c>
      <c r="BE54" s="37">
        <v>0</v>
      </c>
      <c r="BF54" s="37">
        <f>54</f>
        <v>54</v>
      </c>
      <c r="BH54" s="37">
        <f t="shared" si="65"/>
        <v>0</v>
      </c>
      <c r="BI54" s="37">
        <f t="shared" si="66"/>
        <v>0</v>
      </c>
      <c r="BJ54" s="37">
        <f t="shared" si="67"/>
        <v>0</v>
      </c>
      <c r="BK54" s="37"/>
      <c r="BL54" s="37">
        <v>31</v>
      </c>
      <c r="BW54" s="37">
        <v>21</v>
      </c>
      <c r="BX54" s="3" t="s">
        <v>323</v>
      </c>
    </row>
    <row r="55" spans="1:76" x14ac:dyDescent="0.25">
      <c r="A55" s="1" t="s">
        <v>324</v>
      </c>
      <c r="B55" s="2" t="s">
        <v>325</v>
      </c>
      <c r="C55" s="279" t="s">
        <v>326</v>
      </c>
      <c r="D55" s="280"/>
      <c r="E55" s="2" t="s">
        <v>296</v>
      </c>
      <c r="F55" s="37">
        <v>0.64015999999999995</v>
      </c>
      <c r="G55" s="78">
        <v>0</v>
      </c>
      <c r="H55" s="37">
        <f t="shared" si="46"/>
        <v>0</v>
      </c>
      <c r="I55" s="37">
        <f t="shared" si="47"/>
        <v>0</v>
      </c>
      <c r="J55" s="37">
        <f t="shared" si="48"/>
        <v>0</v>
      </c>
      <c r="K55" s="79" t="s">
        <v>223</v>
      </c>
      <c r="Z55" s="37">
        <f t="shared" si="49"/>
        <v>0</v>
      </c>
      <c r="AB55" s="37">
        <f t="shared" si="50"/>
        <v>0</v>
      </c>
      <c r="AC55" s="37">
        <f t="shared" si="51"/>
        <v>0</v>
      </c>
      <c r="AD55" s="37">
        <f t="shared" si="52"/>
        <v>0</v>
      </c>
      <c r="AE55" s="37">
        <f t="shared" si="53"/>
        <v>0</v>
      </c>
      <c r="AF55" s="37">
        <f t="shared" si="54"/>
        <v>0</v>
      </c>
      <c r="AG55" s="37">
        <f t="shared" si="55"/>
        <v>0</v>
      </c>
      <c r="AH55" s="37">
        <f t="shared" si="56"/>
        <v>0</v>
      </c>
      <c r="AI55" s="49" t="s">
        <v>89</v>
      </c>
      <c r="AJ55" s="37">
        <f t="shared" si="57"/>
        <v>0</v>
      </c>
      <c r="AK55" s="37">
        <f t="shared" si="58"/>
        <v>0</v>
      </c>
      <c r="AL55" s="37">
        <f t="shared" si="59"/>
        <v>0</v>
      </c>
      <c r="AN55" s="37">
        <v>21</v>
      </c>
      <c r="AO55" s="37">
        <f>G55*1</f>
        <v>0</v>
      </c>
      <c r="AP55" s="37">
        <f>G55*(1-1)</f>
        <v>0</v>
      </c>
      <c r="AQ55" s="72" t="s">
        <v>219</v>
      </c>
      <c r="AV55" s="37">
        <f t="shared" si="60"/>
        <v>0</v>
      </c>
      <c r="AW55" s="37">
        <f t="shared" si="61"/>
        <v>0</v>
      </c>
      <c r="AX55" s="37">
        <f t="shared" si="62"/>
        <v>0</v>
      </c>
      <c r="AY55" s="72" t="s">
        <v>314</v>
      </c>
      <c r="AZ55" s="72" t="s">
        <v>315</v>
      </c>
      <c r="BA55" s="49" t="s">
        <v>226</v>
      </c>
      <c r="BC55" s="37">
        <f t="shared" si="63"/>
        <v>0</v>
      </c>
      <c r="BD55" s="37">
        <f t="shared" si="64"/>
        <v>0</v>
      </c>
      <c r="BE55" s="37">
        <v>0</v>
      </c>
      <c r="BF55" s="37">
        <f>55</f>
        <v>55</v>
      </c>
      <c r="BH55" s="37">
        <f t="shared" si="65"/>
        <v>0</v>
      </c>
      <c r="BI55" s="37">
        <f t="shared" si="66"/>
        <v>0</v>
      </c>
      <c r="BJ55" s="37">
        <f t="shared" si="67"/>
        <v>0</v>
      </c>
      <c r="BK55" s="37"/>
      <c r="BL55" s="37">
        <v>31</v>
      </c>
      <c r="BW55" s="37">
        <v>21</v>
      </c>
      <c r="BX55" s="3" t="s">
        <v>326</v>
      </c>
    </row>
    <row r="56" spans="1:76" x14ac:dyDescent="0.25">
      <c r="A56" s="1" t="s">
        <v>111</v>
      </c>
      <c r="B56" s="2" t="s">
        <v>327</v>
      </c>
      <c r="C56" s="279" t="s">
        <v>328</v>
      </c>
      <c r="D56" s="280"/>
      <c r="E56" s="2" t="s">
        <v>329</v>
      </c>
      <c r="F56" s="37">
        <v>2</v>
      </c>
      <c r="G56" s="78">
        <v>0</v>
      </c>
      <c r="H56" s="37">
        <f t="shared" si="46"/>
        <v>0</v>
      </c>
      <c r="I56" s="37">
        <f t="shared" si="47"/>
        <v>0</v>
      </c>
      <c r="J56" s="37">
        <f t="shared" si="48"/>
        <v>0</v>
      </c>
      <c r="K56" s="79" t="s">
        <v>223</v>
      </c>
      <c r="Z56" s="37">
        <f t="shared" si="49"/>
        <v>0</v>
      </c>
      <c r="AB56" s="37">
        <f t="shared" si="50"/>
        <v>0</v>
      </c>
      <c r="AC56" s="37">
        <f t="shared" si="51"/>
        <v>0</v>
      </c>
      <c r="AD56" s="37">
        <f t="shared" si="52"/>
        <v>0</v>
      </c>
      <c r="AE56" s="37">
        <f t="shared" si="53"/>
        <v>0</v>
      </c>
      <c r="AF56" s="37">
        <f t="shared" si="54"/>
        <v>0</v>
      </c>
      <c r="AG56" s="37">
        <f t="shared" si="55"/>
        <v>0</v>
      </c>
      <c r="AH56" s="37">
        <f t="shared" si="56"/>
        <v>0</v>
      </c>
      <c r="AI56" s="49" t="s">
        <v>89</v>
      </c>
      <c r="AJ56" s="37">
        <f t="shared" si="57"/>
        <v>0</v>
      </c>
      <c r="AK56" s="37">
        <f t="shared" si="58"/>
        <v>0</v>
      </c>
      <c r="AL56" s="37">
        <f t="shared" si="59"/>
        <v>0</v>
      </c>
      <c r="AN56" s="37">
        <v>21</v>
      </c>
      <c r="AO56" s="37">
        <f>G56*0.809250568</f>
        <v>0</v>
      </c>
      <c r="AP56" s="37">
        <f>G56*(1-0.809250568)</f>
        <v>0</v>
      </c>
      <c r="AQ56" s="72" t="s">
        <v>219</v>
      </c>
      <c r="AV56" s="37">
        <f t="shared" si="60"/>
        <v>0</v>
      </c>
      <c r="AW56" s="37">
        <f t="shared" si="61"/>
        <v>0</v>
      </c>
      <c r="AX56" s="37">
        <f t="shared" si="62"/>
        <v>0</v>
      </c>
      <c r="AY56" s="72" t="s">
        <v>314</v>
      </c>
      <c r="AZ56" s="72" t="s">
        <v>315</v>
      </c>
      <c r="BA56" s="49" t="s">
        <v>226</v>
      </c>
      <c r="BC56" s="37">
        <f t="shared" si="63"/>
        <v>0</v>
      </c>
      <c r="BD56" s="37">
        <f t="shared" si="64"/>
        <v>0</v>
      </c>
      <c r="BE56" s="37">
        <v>0</v>
      </c>
      <c r="BF56" s="37">
        <f>56</f>
        <v>56</v>
      </c>
      <c r="BH56" s="37">
        <f t="shared" si="65"/>
        <v>0</v>
      </c>
      <c r="BI56" s="37">
        <f t="shared" si="66"/>
        <v>0</v>
      </c>
      <c r="BJ56" s="37">
        <f t="shared" si="67"/>
        <v>0</v>
      </c>
      <c r="BK56" s="37"/>
      <c r="BL56" s="37">
        <v>31</v>
      </c>
      <c r="BW56" s="37">
        <v>21</v>
      </c>
      <c r="BX56" s="3" t="s">
        <v>328</v>
      </c>
    </row>
    <row r="57" spans="1:76" x14ac:dyDescent="0.25">
      <c r="A57" s="1" t="s">
        <v>330</v>
      </c>
      <c r="B57" s="2" t="s">
        <v>331</v>
      </c>
      <c r="C57" s="279" t="s">
        <v>332</v>
      </c>
      <c r="D57" s="280"/>
      <c r="E57" s="2" t="s">
        <v>333</v>
      </c>
      <c r="F57" s="37">
        <v>1.25</v>
      </c>
      <c r="G57" s="78">
        <v>0</v>
      </c>
      <c r="H57" s="37">
        <f t="shared" si="46"/>
        <v>0</v>
      </c>
      <c r="I57" s="37">
        <f t="shared" si="47"/>
        <v>0</v>
      </c>
      <c r="J57" s="37">
        <f t="shared" si="48"/>
        <v>0</v>
      </c>
      <c r="K57" s="79" t="s">
        <v>334</v>
      </c>
      <c r="Z57" s="37">
        <f t="shared" si="49"/>
        <v>0</v>
      </c>
      <c r="AB57" s="37">
        <f t="shared" si="50"/>
        <v>0</v>
      </c>
      <c r="AC57" s="37">
        <f t="shared" si="51"/>
        <v>0</v>
      </c>
      <c r="AD57" s="37">
        <f t="shared" si="52"/>
        <v>0</v>
      </c>
      <c r="AE57" s="37">
        <f t="shared" si="53"/>
        <v>0</v>
      </c>
      <c r="AF57" s="37">
        <f t="shared" si="54"/>
        <v>0</v>
      </c>
      <c r="AG57" s="37">
        <f t="shared" si="55"/>
        <v>0</v>
      </c>
      <c r="AH57" s="37">
        <f t="shared" si="56"/>
        <v>0</v>
      </c>
      <c r="AI57" s="49" t="s">
        <v>89</v>
      </c>
      <c r="AJ57" s="37">
        <f t="shared" si="57"/>
        <v>0</v>
      </c>
      <c r="AK57" s="37">
        <f t="shared" si="58"/>
        <v>0</v>
      </c>
      <c r="AL57" s="37">
        <f t="shared" si="59"/>
        <v>0</v>
      </c>
      <c r="AN57" s="37">
        <v>21</v>
      </c>
      <c r="AO57" s="37">
        <f>G57*0.478509159</f>
        <v>0</v>
      </c>
      <c r="AP57" s="37">
        <f>G57*(1-0.478509159)</f>
        <v>0</v>
      </c>
      <c r="AQ57" s="72" t="s">
        <v>219</v>
      </c>
      <c r="AV57" s="37">
        <f t="shared" si="60"/>
        <v>0</v>
      </c>
      <c r="AW57" s="37">
        <f t="shared" si="61"/>
        <v>0</v>
      </c>
      <c r="AX57" s="37">
        <f t="shared" si="62"/>
        <v>0</v>
      </c>
      <c r="AY57" s="72" t="s">
        <v>314</v>
      </c>
      <c r="AZ57" s="72" t="s">
        <v>315</v>
      </c>
      <c r="BA57" s="49" t="s">
        <v>226</v>
      </c>
      <c r="BC57" s="37">
        <f t="shared" si="63"/>
        <v>0</v>
      </c>
      <c r="BD57" s="37">
        <f t="shared" si="64"/>
        <v>0</v>
      </c>
      <c r="BE57" s="37">
        <v>0</v>
      </c>
      <c r="BF57" s="37">
        <f>57</f>
        <v>57</v>
      </c>
      <c r="BH57" s="37">
        <f t="shared" si="65"/>
        <v>0</v>
      </c>
      <c r="BI57" s="37">
        <f t="shared" si="66"/>
        <v>0</v>
      </c>
      <c r="BJ57" s="37">
        <f t="shared" si="67"/>
        <v>0</v>
      </c>
      <c r="BK57" s="37"/>
      <c r="BL57" s="37">
        <v>31</v>
      </c>
      <c r="BW57" s="37">
        <v>21</v>
      </c>
      <c r="BX57" s="3" t="s">
        <v>332</v>
      </c>
    </row>
    <row r="58" spans="1:76" x14ac:dyDescent="0.25">
      <c r="A58" s="1" t="s">
        <v>335</v>
      </c>
      <c r="B58" s="2" t="s">
        <v>336</v>
      </c>
      <c r="C58" s="279" t="s">
        <v>337</v>
      </c>
      <c r="D58" s="280"/>
      <c r="E58" s="2" t="s">
        <v>249</v>
      </c>
      <c r="F58" s="37">
        <v>0.1</v>
      </c>
      <c r="G58" s="78">
        <v>0</v>
      </c>
      <c r="H58" s="37">
        <f t="shared" si="46"/>
        <v>0</v>
      </c>
      <c r="I58" s="37">
        <f t="shared" si="47"/>
        <v>0</v>
      </c>
      <c r="J58" s="37">
        <f t="shared" si="48"/>
        <v>0</v>
      </c>
      <c r="K58" s="79" t="s">
        <v>223</v>
      </c>
      <c r="Z58" s="37">
        <f t="shared" si="49"/>
        <v>0</v>
      </c>
      <c r="AB58" s="37">
        <f t="shared" si="50"/>
        <v>0</v>
      </c>
      <c r="AC58" s="37">
        <f t="shared" si="51"/>
        <v>0</v>
      </c>
      <c r="AD58" s="37">
        <f t="shared" si="52"/>
        <v>0</v>
      </c>
      <c r="AE58" s="37">
        <f t="shared" si="53"/>
        <v>0</v>
      </c>
      <c r="AF58" s="37">
        <f t="shared" si="54"/>
        <v>0</v>
      </c>
      <c r="AG58" s="37">
        <f t="shared" si="55"/>
        <v>0</v>
      </c>
      <c r="AH58" s="37">
        <f t="shared" si="56"/>
        <v>0</v>
      </c>
      <c r="AI58" s="49" t="s">
        <v>89</v>
      </c>
      <c r="AJ58" s="37">
        <f t="shared" si="57"/>
        <v>0</v>
      </c>
      <c r="AK58" s="37">
        <f t="shared" si="58"/>
        <v>0</v>
      </c>
      <c r="AL58" s="37">
        <f t="shared" si="59"/>
        <v>0</v>
      </c>
      <c r="AN58" s="37">
        <v>21</v>
      </c>
      <c r="AO58" s="37">
        <f>G58*0.288531792</f>
        <v>0</v>
      </c>
      <c r="AP58" s="37">
        <f>G58*(1-0.288531792)</f>
        <v>0</v>
      </c>
      <c r="AQ58" s="72" t="s">
        <v>219</v>
      </c>
      <c r="AV58" s="37">
        <f t="shared" si="60"/>
        <v>0</v>
      </c>
      <c r="AW58" s="37">
        <f t="shared" si="61"/>
        <v>0</v>
      </c>
      <c r="AX58" s="37">
        <f t="shared" si="62"/>
        <v>0</v>
      </c>
      <c r="AY58" s="72" t="s">
        <v>314</v>
      </c>
      <c r="AZ58" s="72" t="s">
        <v>315</v>
      </c>
      <c r="BA58" s="49" t="s">
        <v>226</v>
      </c>
      <c r="BC58" s="37">
        <f t="shared" si="63"/>
        <v>0</v>
      </c>
      <c r="BD58" s="37">
        <f t="shared" si="64"/>
        <v>0</v>
      </c>
      <c r="BE58" s="37">
        <v>0</v>
      </c>
      <c r="BF58" s="37">
        <f>58</f>
        <v>58</v>
      </c>
      <c r="BH58" s="37">
        <f t="shared" si="65"/>
        <v>0</v>
      </c>
      <c r="BI58" s="37">
        <f t="shared" si="66"/>
        <v>0</v>
      </c>
      <c r="BJ58" s="37">
        <f t="shared" si="67"/>
        <v>0</v>
      </c>
      <c r="BK58" s="37"/>
      <c r="BL58" s="37">
        <v>31</v>
      </c>
      <c r="BW58" s="37">
        <v>21</v>
      </c>
      <c r="BX58" s="3" t="s">
        <v>337</v>
      </c>
    </row>
    <row r="59" spans="1:76" ht="25.5" x14ac:dyDescent="0.25">
      <c r="A59" s="1" t="s">
        <v>338</v>
      </c>
      <c r="B59" s="2" t="s">
        <v>339</v>
      </c>
      <c r="C59" s="279" t="s">
        <v>340</v>
      </c>
      <c r="D59" s="280"/>
      <c r="E59" s="2" t="s">
        <v>249</v>
      </c>
      <c r="F59" s="37">
        <v>3.6150000000000002</v>
      </c>
      <c r="G59" s="78">
        <v>0</v>
      </c>
      <c r="H59" s="37">
        <f t="shared" si="46"/>
        <v>0</v>
      </c>
      <c r="I59" s="37">
        <f t="shared" si="47"/>
        <v>0</v>
      </c>
      <c r="J59" s="37">
        <f t="shared" si="48"/>
        <v>0</v>
      </c>
      <c r="K59" s="79" t="s">
        <v>223</v>
      </c>
      <c r="Z59" s="37">
        <f t="shared" si="49"/>
        <v>0</v>
      </c>
      <c r="AB59" s="37">
        <f t="shared" si="50"/>
        <v>0</v>
      </c>
      <c r="AC59" s="37">
        <f t="shared" si="51"/>
        <v>0</v>
      </c>
      <c r="AD59" s="37">
        <f t="shared" si="52"/>
        <v>0</v>
      </c>
      <c r="AE59" s="37">
        <f t="shared" si="53"/>
        <v>0</v>
      </c>
      <c r="AF59" s="37">
        <f t="shared" si="54"/>
        <v>0</v>
      </c>
      <c r="AG59" s="37">
        <f t="shared" si="55"/>
        <v>0</v>
      </c>
      <c r="AH59" s="37">
        <f t="shared" si="56"/>
        <v>0</v>
      </c>
      <c r="AI59" s="49" t="s">
        <v>89</v>
      </c>
      <c r="AJ59" s="37">
        <f t="shared" si="57"/>
        <v>0</v>
      </c>
      <c r="AK59" s="37">
        <f t="shared" si="58"/>
        <v>0</v>
      </c>
      <c r="AL59" s="37">
        <f t="shared" si="59"/>
        <v>0</v>
      </c>
      <c r="AN59" s="37">
        <v>21</v>
      </c>
      <c r="AO59" s="37">
        <f>G59*0.521727273</f>
        <v>0</v>
      </c>
      <c r="AP59" s="37">
        <f>G59*(1-0.521727273)</f>
        <v>0</v>
      </c>
      <c r="AQ59" s="72" t="s">
        <v>219</v>
      </c>
      <c r="AV59" s="37">
        <f t="shared" si="60"/>
        <v>0</v>
      </c>
      <c r="AW59" s="37">
        <f t="shared" si="61"/>
        <v>0</v>
      </c>
      <c r="AX59" s="37">
        <f t="shared" si="62"/>
        <v>0</v>
      </c>
      <c r="AY59" s="72" t="s">
        <v>314</v>
      </c>
      <c r="AZ59" s="72" t="s">
        <v>315</v>
      </c>
      <c r="BA59" s="49" t="s">
        <v>226</v>
      </c>
      <c r="BC59" s="37">
        <f t="shared" si="63"/>
        <v>0</v>
      </c>
      <c r="BD59" s="37">
        <f t="shared" si="64"/>
        <v>0</v>
      </c>
      <c r="BE59" s="37">
        <v>0</v>
      </c>
      <c r="BF59" s="37">
        <f>59</f>
        <v>59</v>
      </c>
      <c r="BH59" s="37">
        <f t="shared" si="65"/>
        <v>0</v>
      </c>
      <c r="BI59" s="37">
        <f t="shared" si="66"/>
        <v>0</v>
      </c>
      <c r="BJ59" s="37">
        <f t="shared" si="67"/>
        <v>0</v>
      </c>
      <c r="BK59" s="37"/>
      <c r="BL59" s="37">
        <v>31</v>
      </c>
      <c r="BW59" s="37">
        <v>21</v>
      </c>
      <c r="BX59" s="3" t="s">
        <v>340</v>
      </c>
    </row>
    <row r="60" spans="1:76" x14ac:dyDescent="0.25">
      <c r="A60" s="1" t="s">
        <v>341</v>
      </c>
      <c r="B60" s="2" t="s">
        <v>342</v>
      </c>
      <c r="C60" s="279" t="s">
        <v>343</v>
      </c>
      <c r="D60" s="280"/>
      <c r="E60" s="2" t="s">
        <v>249</v>
      </c>
      <c r="F60" s="37">
        <v>25.285</v>
      </c>
      <c r="G60" s="78">
        <v>0</v>
      </c>
      <c r="H60" s="37">
        <f t="shared" si="46"/>
        <v>0</v>
      </c>
      <c r="I60" s="37">
        <f t="shared" si="47"/>
        <v>0</v>
      </c>
      <c r="J60" s="37">
        <f t="shared" si="48"/>
        <v>0</v>
      </c>
      <c r="K60" s="79" t="s">
        <v>334</v>
      </c>
      <c r="Z60" s="37">
        <f t="shared" si="49"/>
        <v>0</v>
      </c>
      <c r="AB60" s="37">
        <f t="shared" si="50"/>
        <v>0</v>
      </c>
      <c r="AC60" s="37">
        <f t="shared" si="51"/>
        <v>0</v>
      </c>
      <c r="AD60" s="37">
        <f t="shared" si="52"/>
        <v>0</v>
      </c>
      <c r="AE60" s="37">
        <f t="shared" si="53"/>
        <v>0</v>
      </c>
      <c r="AF60" s="37">
        <f t="shared" si="54"/>
        <v>0</v>
      </c>
      <c r="AG60" s="37">
        <f t="shared" si="55"/>
        <v>0</v>
      </c>
      <c r="AH60" s="37">
        <f t="shared" si="56"/>
        <v>0</v>
      </c>
      <c r="AI60" s="49" t="s">
        <v>89</v>
      </c>
      <c r="AJ60" s="37">
        <f t="shared" si="57"/>
        <v>0</v>
      </c>
      <c r="AK60" s="37">
        <f t="shared" si="58"/>
        <v>0</v>
      </c>
      <c r="AL60" s="37">
        <f t="shared" si="59"/>
        <v>0</v>
      </c>
      <c r="AN60" s="37">
        <v>21</v>
      </c>
      <c r="AO60" s="37">
        <f>G60*0.832507092</f>
        <v>0</v>
      </c>
      <c r="AP60" s="37">
        <f>G60*(1-0.832507092)</f>
        <v>0</v>
      </c>
      <c r="AQ60" s="72" t="s">
        <v>219</v>
      </c>
      <c r="AV60" s="37">
        <f t="shared" si="60"/>
        <v>0</v>
      </c>
      <c r="AW60" s="37">
        <f t="shared" si="61"/>
        <v>0</v>
      </c>
      <c r="AX60" s="37">
        <f t="shared" si="62"/>
        <v>0</v>
      </c>
      <c r="AY60" s="72" t="s">
        <v>314</v>
      </c>
      <c r="AZ60" s="72" t="s">
        <v>315</v>
      </c>
      <c r="BA60" s="49" t="s">
        <v>226</v>
      </c>
      <c r="BC60" s="37">
        <f t="shared" si="63"/>
        <v>0</v>
      </c>
      <c r="BD60" s="37">
        <f t="shared" si="64"/>
        <v>0</v>
      </c>
      <c r="BE60" s="37">
        <v>0</v>
      </c>
      <c r="BF60" s="37">
        <f>60</f>
        <v>60</v>
      </c>
      <c r="BH60" s="37">
        <f t="shared" si="65"/>
        <v>0</v>
      </c>
      <c r="BI60" s="37">
        <f t="shared" si="66"/>
        <v>0</v>
      </c>
      <c r="BJ60" s="37">
        <f t="shared" si="67"/>
        <v>0</v>
      </c>
      <c r="BK60" s="37"/>
      <c r="BL60" s="37">
        <v>31</v>
      </c>
      <c r="BW60" s="37">
        <v>21</v>
      </c>
      <c r="BX60" s="3" t="s">
        <v>343</v>
      </c>
    </row>
    <row r="61" spans="1:76" x14ac:dyDescent="0.25">
      <c r="A61" s="1" t="s">
        <v>344</v>
      </c>
      <c r="B61" s="2" t="s">
        <v>345</v>
      </c>
      <c r="C61" s="279" t="s">
        <v>346</v>
      </c>
      <c r="D61" s="280"/>
      <c r="E61" s="2" t="s">
        <v>249</v>
      </c>
      <c r="F61" s="37">
        <v>18.7331</v>
      </c>
      <c r="G61" s="78">
        <v>0</v>
      </c>
      <c r="H61" s="37">
        <f t="shared" si="46"/>
        <v>0</v>
      </c>
      <c r="I61" s="37">
        <f t="shared" si="47"/>
        <v>0</v>
      </c>
      <c r="J61" s="37">
        <f t="shared" si="48"/>
        <v>0</v>
      </c>
      <c r="K61" s="79" t="s">
        <v>223</v>
      </c>
      <c r="Z61" s="37">
        <f t="shared" si="49"/>
        <v>0</v>
      </c>
      <c r="AB61" s="37">
        <f t="shared" si="50"/>
        <v>0</v>
      </c>
      <c r="AC61" s="37">
        <f t="shared" si="51"/>
        <v>0</v>
      </c>
      <c r="AD61" s="37">
        <f t="shared" si="52"/>
        <v>0</v>
      </c>
      <c r="AE61" s="37">
        <f t="shared" si="53"/>
        <v>0</v>
      </c>
      <c r="AF61" s="37">
        <f t="shared" si="54"/>
        <v>0</v>
      </c>
      <c r="AG61" s="37">
        <f t="shared" si="55"/>
        <v>0</v>
      </c>
      <c r="AH61" s="37">
        <f t="shared" si="56"/>
        <v>0</v>
      </c>
      <c r="AI61" s="49" t="s">
        <v>89</v>
      </c>
      <c r="AJ61" s="37">
        <f t="shared" si="57"/>
        <v>0</v>
      </c>
      <c r="AK61" s="37">
        <f t="shared" si="58"/>
        <v>0</v>
      </c>
      <c r="AL61" s="37">
        <f t="shared" si="59"/>
        <v>0</v>
      </c>
      <c r="AN61" s="37">
        <v>21</v>
      </c>
      <c r="AO61" s="37">
        <f>G61*0.820561583</f>
        <v>0</v>
      </c>
      <c r="AP61" s="37">
        <f>G61*(1-0.820561583)</f>
        <v>0</v>
      </c>
      <c r="AQ61" s="72" t="s">
        <v>219</v>
      </c>
      <c r="AV61" s="37">
        <f t="shared" si="60"/>
        <v>0</v>
      </c>
      <c r="AW61" s="37">
        <f t="shared" si="61"/>
        <v>0</v>
      </c>
      <c r="AX61" s="37">
        <f t="shared" si="62"/>
        <v>0</v>
      </c>
      <c r="AY61" s="72" t="s">
        <v>314</v>
      </c>
      <c r="AZ61" s="72" t="s">
        <v>315</v>
      </c>
      <c r="BA61" s="49" t="s">
        <v>226</v>
      </c>
      <c r="BC61" s="37">
        <f t="shared" si="63"/>
        <v>0</v>
      </c>
      <c r="BD61" s="37">
        <f t="shared" si="64"/>
        <v>0</v>
      </c>
      <c r="BE61" s="37">
        <v>0</v>
      </c>
      <c r="BF61" s="37">
        <f>61</f>
        <v>61</v>
      </c>
      <c r="BH61" s="37">
        <f t="shared" si="65"/>
        <v>0</v>
      </c>
      <c r="BI61" s="37">
        <f t="shared" si="66"/>
        <v>0</v>
      </c>
      <c r="BJ61" s="37">
        <f t="shared" si="67"/>
        <v>0</v>
      </c>
      <c r="BK61" s="37"/>
      <c r="BL61" s="37">
        <v>31</v>
      </c>
      <c r="BW61" s="37">
        <v>21</v>
      </c>
      <c r="BX61" s="3" t="s">
        <v>346</v>
      </c>
    </row>
    <row r="62" spans="1:76" x14ac:dyDescent="0.25">
      <c r="A62" s="1" t="s">
        <v>347</v>
      </c>
      <c r="B62" s="2" t="s">
        <v>348</v>
      </c>
      <c r="C62" s="279" t="s">
        <v>349</v>
      </c>
      <c r="D62" s="280"/>
      <c r="E62" s="2" t="s">
        <v>249</v>
      </c>
      <c r="F62" s="37">
        <v>10.3085</v>
      </c>
      <c r="G62" s="78">
        <v>0</v>
      </c>
      <c r="H62" s="37">
        <f t="shared" si="46"/>
        <v>0</v>
      </c>
      <c r="I62" s="37">
        <f t="shared" si="47"/>
        <v>0</v>
      </c>
      <c r="J62" s="37">
        <f t="shared" si="48"/>
        <v>0</v>
      </c>
      <c r="K62" s="79" t="s">
        <v>223</v>
      </c>
      <c r="Z62" s="37">
        <f t="shared" si="49"/>
        <v>0</v>
      </c>
      <c r="AB62" s="37">
        <f t="shared" si="50"/>
        <v>0</v>
      </c>
      <c r="AC62" s="37">
        <f t="shared" si="51"/>
        <v>0</v>
      </c>
      <c r="AD62" s="37">
        <f t="shared" si="52"/>
        <v>0</v>
      </c>
      <c r="AE62" s="37">
        <f t="shared" si="53"/>
        <v>0</v>
      </c>
      <c r="AF62" s="37">
        <f t="shared" si="54"/>
        <v>0</v>
      </c>
      <c r="AG62" s="37">
        <f t="shared" si="55"/>
        <v>0</v>
      </c>
      <c r="AH62" s="37">
        <f t="shared" si="56"/>
        <v>0</v>
      </c>
      <c r="AI62" s="49" t="s">
        <v>89</v>
      </c>
      <c r="AJ62" s="37">
        <f t="shared" si="57"/>
        <v>0</v>
      </c>
      <c r="AK62" s="37">
        <f t="shared" si="58"/>
        <v>0</v>
      </c>
      <c r="AL62" s="37">
        <f t="shared" si="59"/>
        <v>0</v>
      </c>
      <c r="AN62" s="37">
        <v>21</v>
      </c>
      <c r="AO62" s="37">
        <f>G62*0.843853248</f>
        <v>0</v>
      </c>
      <c r="AP62" s="37">
        <f>G62*(1-0.843853248)</f>
        <v>0</v>
      </c>
      <c r="AQ62" s="72" t="s">
        <v>219</v>
      </c>
      <c r="AV62" s="37">
        <f t="shared" si="60"/>
        <v>0</v>
      </c>
      <c r="AW62" s="37">
        <f t="shared" si="61"/>
        <v>0</v>
      </c>
      <c r="AX62" s="37">
        <f t="shared" si="62"/>
        <v>0</v>
      </c>
      <c r="AY62" s="72" t="s">
        <v>314</v>
      </c>
      <c r="AZ62" s="72" t="s">
        <v>315</v>
      </c>
      <c r="BA62" s="49" t="s">
        <v>226</v>
      </c>
      <c r="BC62" s="37">
        <f t="shared" si="63"/>
        <v>0</v>
      </c>
      <c r="BD62" s="37">
        <f t="shared" si="64"/>
        <v>0</v>
      </c>
      <c r="BE62" s="37">
        <v>0</v>
      </c>
      <c r="BF62" s="37">
        <f>62</f>
        <v>62</v>
      </c>
      <c r="BH62" s="37">
        <f t="shared" si="65"/>
        <v>0</v>
      </c>
      <c r="BI62" s="37">
        <f t="shared" si="66"/>
        <v>0</v>
      </c>
      <c r="BJ62" s="37">
        <f t="shared" si="67"/>
        <v>0</v>
      </c>
      <c r="BK62" s="37"/>
      <c r="BL62" s="37">
        <v>31</v>
      </c>
      <c r="BW62" s="37">
        <v>21</v>
      </c>
      <c r="BX62" s="3" t="s">
        <v>349</v>
      </c>
    </row>
    <row r="63" spans="1:76" x14ac:dyDescent="0.25">
      <c r="A63" s="80" t="s">
        <v>4</v>
      </c>
      <c r="B63" s="81" t="s">
        <v>111</v>
      </c>
      <c r="C63" s="365" t="s">
        <v>112</v>
      </c>
      <c r="D63" s="366"/>
      <c r="E63" s="82" t="s">
        <v>81</v>
      </c>
      <c r="F63" s="82" t="s">
        <v>81</v>
      </c>
      <c r="G63" s="83" t="s">
        <v>81</v>
      </c>
      <c r="H63" s="43">
        <f>SUM(H64:H68)</f>
        <v>0</v>
      </c>
      <c r="I63" s="43">
        <f>SUM(I64:I68)</f>
        <v>0</v>
      </c>
      <c r="J63" s="43">
        <f>SUM(J64:J68)</f>
        <v>0</v>
      </c>
      <c r="K63" s="84" t="s">
        <v>4</v>
      </c>
      <c r="AI63" s="49" t="s">
        <v>89</v>
      </c>
      <c r="AS63" s="43">
        <f>SUM(AJ64:AJ68)</f>
        <v>0</v>
      </c>
      <c r="AT63" s="43">
        <f>SUM(AK64:AK68)</f>
        <v>0</v>
      </c>
      <c r="AU63" s="43">
        <f>SUM(AL64:AL68)</f>
        <v>0</v>
      </c>
    </row>
    <row r="64" spans="1:76" x14ac:dyDescent="0.25">
      <c r="A64" s="1" t="s">
        <v>113</v>
      </c>
      <c r="B64" s="2" t="s">
        <v>350</v>
      </c>
      <c r="C64" s="279" t="s">
        <v>351</v>
      </c>
      <c r="D64" s="280"/>
      <c r="E64" s="2" t="s">
        <v>249</v>
      </c>
      <c r="F64" s="37">
        <v>9.2690000000000001</v>
      </c>
      <c r="G64" s="78">
        <v>0</v>
      </c>
      <c r="H64" s="37">
        <f>F64*AO64</f>
        <v>0</v>
      </c>
      <c r="I64" s="37">
        <f>F64*AP64</f>
        <v>0</v>
      </c>
      <c r="J64" s="37">
        <f>F64*G64</f>
        <v>0</v>
      </c>
      <c r="K64" s="79" t="s">
        <v>223</v>
      </c>
      <c r="Z64" s="37">
        <f>IF(AQ64="5",BJ64,0)</f>
        <v>0</v>
      </c>
      <c r="AB64" s="37">
        <f>IF(AQ64="1",BH64,0)</f>
        <v>0</v>
      </c>
      <c r="AC64" s="37">
        <f>IF(AQ64="1",BI64,0)</f>
        <v>0</v>
      </c>
      <c r="AD64" s="37">
        <f>IF(AQ64="7",BH64,0)</f>
        <v>0</v>
      </c>
      <c r="AE64" s="37">
        <f>IF(AQ64="7",BI64,0)</f>
        <v>0</v>
      </c>
      <c r="AF64" s="37">
        <f>IF(AQ64="2",BH64,0)</f>
        <v>0</v>
      </c>
      <c r="AG64" s="37">
        <f>IF(AQ64="2",BI64,0)</f>
        <v>0</v>
      </c>
      <c r="AH64" s="37">
        <f>IF(AQ64="0",BJ64,0)</f>
        <v>0</v>
      </c>
      <c r="AI64" s="49" t="s">
        <v>89</v>
      </c>
      <c r="AJ64" s="37">
        <f>IF(AN64=0,J64,0)</f>
        <v>0</v>
      </c>
      <c r="AK64" s="37">
        <f>IF(AN64=12,J64,0)</f>
        <v>0</v>
      </c>
      <c r="AL64" s="37">
        <f>IF(AN64=21,J64,0)</f>
        <v>0</v>
      </c>
      <c r="AN64" s="37">
        <v>21</v>
      </c>
      <c r="AO64" s="37">
        <f>G64*0.736373407</f>
        <v>0</v>
      </c>
      <c r="AP64" s="37">
        <f>G64*(1-0.736373407)</f>
        <v>0</v>
      </c>
      <c r="AQ64" s="72" t="s">
        <v>219</v>
      </c>
      <c r="AV64" s="37">
        <f>AW64+AX64</f>
        <v>0</v>
      </c>
      <c r="AW64" s="37">
        <f>F64*AO64</f>
        <v>0</v>
      </c>
      <c r="AX64" s="37">
        <f>F64*AP64</f>
        <v>0</v>
      </c>
      <c r="AY64" s="72" t="s">
        <v>352</v>
      </c>
      <c r="AZ64" s="72" t="s">
        <v>315</v>
      </c>
      <c r="BA64" s="49" t="s">
        <v>226</v>
      </c>
      <c r="BC64" s="37">
        <f>AW64+AX64</f>
        <v>0</v>
      </c>
      <c r="BD64" s="37">
        <f>G64/(100-BE64)*100</f>
        <v>0</v>
      </c>
      <c r="BE64" s="37">
        <v>0</v>
      </c>
      <c r="BF64" s="37">
        <f>64</f>
        <v>64</v>
      </c>
      <c r="BH64" s="37">
        <f>F64*AO64</f>
        <v>0</v>
      </c>
      <c r="BI64" s="37">
        <f>F64*AP64</f>
        <v>0</v>
      </c>
      <c r="BJ64" s="37">
        <f>F64*G64</f>
        <v>0</v>
      </c>
      <c r="BK64" s="37"/>
      <c r="BL64" s="37">
        <v>34</v>
      </c>
      <c r="BW64" s="37">
        <v>21</v>
      </c>
      <c r="BX64" s="3" t="s">
        <v>351</v>
      </c>
    </row>
    <row r="65" spans="1:76" x14ac:dyDescent="0.25">
      <c r="A65" s="1" t="s">
        <v>353</v>
      </c>
      <c r="B65" s="2" t="s">
        <v>354</v>
      </c>
      <c r="C65" s="279" t="s">
        <v>355</v>
      </c>
      <c r="D65" s="280"/>
      <c r="E65" s="2" t="s">
        <v>249</v>
      </c>
      <c r="F65" s="37">
        <v>31.757149999999999</v>
      </c>
      <c r="G65" s="78">
        <v>0</v>
      </c>
      <c r="H65" s="37">
        <f>F65*AO65</f>
        <v>0</v>
      </c>
      <c r="I65" s="37">
        <f>F65*AP65</f>
        <v>0</v>
      </c>
      <c r="J65" s="37">
        <f>F65*G65</f>
        <v>0</v>
      </c>
      <c r="K65" s="79" t="s">
        <v>223</v>
      </c>
      <c r="Z65" s="37">
        <f>IF(AQ65="5",BJ65,0)</f>
        <v>0</v>
      </c>
      <c r="AB65" s="37">
        <f>IF(AQ65="1",BH65,0)</f>
        <v>0</v>
      </c>
      <c r="AC65" s="37">
        <f>IF(AQ65="1",BI65,0)</f>
        <v>0</v>
      </c>
      <c r="AD65" s="37">
        <f>IF(AQ65="7",BH65,0)</f>
        <v>0</v>
      </c>
      <c r="AE65" s="37">
        <f>IF(AQ65="7",BI65,0)</f>
        <v>0</v>
      </c>
      <c r="AF65" s="37">
        <f>IF(AQ65="2",BH65,0)</f>
        <v>0</v>
      </c>
      <c r="AG65" s="37">
        <f>IF(AQ65="2",BI65,0)</f>
        <v>0</v>
      </c>
      <c r="AH65" s="37">
        <f>IF(AQ65="0",BJ65,0)</f>
        <v>0</v>
      </c>
      <c r="AI65" s="49" t="s">
        <v>89</v>
      </c>
      <c r="AJ65" s="37">
        <f>IF(AN65=0,J65,0)</f>
        <v>0</v>
      </c>
      <c r="AK65" s="37">
        <f>IF(AN65=12,J65,0)</f>
        <v>0</v>
      </c>
      <c r="AL65" s="37">
        <f>IF(AN65=21,J65,0)</f>
        <v>0</v>
      </c>
      <c r="AN65" s="37">
        <v>21</v>
      </c>
      <c r="AO65" s="37">
        <f>G65*0.469009489</f>
        <v>0</v>
      </c>
      <c r="AP65" s="37">
        <f>G65*(1-0.469009489)</f>
        <v>0</v>
      </c>
      <c r="AQ65" s="72" t="s">
        <v>219</v>
      </c>
      <c r="AV65" s="37">
        <f>AW65+AX65</f>
        <v>0</v>
      </c>
      <c r="AW65" s="37">
        <f>F65*AO65</f>
        <v>0</v>
      </c>
      <c r="AX65" s="37">
        <f>F65*AP65</f>
        <v>0</v>
      </c>
      <c r="AY65" s="72" t="s">
        <v>352</v>
      </c>
      <c r="AZ65" s="72" t="s">
        <v>315</v>
      </c>
      <c r="BA65" s="49" t="s">
        <v>226</v>
      </c>
      <c r="BC65" s="37">
        <f>AW65+AX65</f>
        <v>0</v>
      </c>
      <c r="BD65" s="37">
        <f>G65/(100-BE65)*100</f>
        <v>0</v>
      </c>
      <c r="BE65" s="37">
        <v>0</v>
      </c>
      <c r="BF65" s="37">
        <f>65</f>
        <v>65</v>
      </c>
      <c r="BH65" s="37">
        <f>F65*AO65</f>
        <v>0</v>
      </c>
      <c r="BI65" s="37">
        <f>F65*AP65</f>
        <v>0</v>
      </c>
      <c r="BJ65" s="37">
        <f>F65*G65</f>
        <v>0</v>
      </c>
      <c r="BK65" s="37"/>
      <c r="BL65" s="37">
        <v>34</v>
      </c>
      <c r="BW65" s="37">
        <v>21</v>
      </c>
      <c r="BX65" s="3" t="s">
        <v>355</v>
      </c>
    </row>
    <row r="66" spans="1:76" x14ac:dyDescent="0.25">
      <c r="A66" s="1" t="s">
        <v>115</v>
      </c>
      <c r="B66" s="2" t="s">
        <v>356</v>
      </c>
      <c r="C66" s="279" t="s">
        <v>357</v>
      </c>
      <c r="D66" s="280"/>
      <c r="E66" s="2" t="s">
        <v>249</v>
      </c>
      <c r="F66" s="37">
        <v>22.529499999999999</v>
      </c>
      <c r="G66" s="78">
        <v>0</v>
      </c>
      <c r="H66" s="37">
        <f>F66*AO66</f>
        <v>0</v>
      </c>
      <c r="I66" s="37">
        <f>F66*AP66</f>
        <v>0</v>
      </c>
      <c r="J66" s="37">
        <f>F66*G66</f>
        <v>0</v>
      </c>
      <c r="K66" s="79" t="s">
        <v>223</v>
      </c>
      <c r="Z66" s="37">
        <f>IF(AQ66="5",BJ66,0)</f>
        <v>0</v>
      </c>
      <c r="AB66" s="37">
        <f>IF(AQ66="1",BH66,0)</f>
        <v>0</v>
      </c>
      <c r="AC66" s="37">
        <f>IF(AQ66="1",BI66,0)</f>
        <v>0</v>
      </c>
      <c r="AD66" s="37">
        <f>IF(AQ66="7",BH66,0)</f>
        <v>0</v>
      </c>
      <c r="AE66" s="37">
        <f>IF(AQ66="7",BI66,0)</f>
        <v>0</v>
      </c>
      <c r="AF66" s="37">
        <f>IF(AQ66="2",BH66,0)</f>
        <v>0</v>
      </c>
      <c r="AG66" s="37">
        <f>IF(AQ66="2",BI66,0)</f>
        <v>0</v>
      </c>
      <c r="AH66" s="37">
        <f>IF(AQ66="0",BJ66,0)</f>
        <v>0</v>
      </c>
      <c r="AI66" s="49" t="s">
        <v>89</v>
      </c>
      <c r="AJ66" s="37">
        <f>IF(AN66=0,J66,0)</f>
        <v>0</v>
      </c>
      <c r="AK66" s="37">
        <f>IF(AN66=12,J66,0)</f>
        <v>0</v>
      </c>
      <c r="AL66" s="37">
        <f>IF(AN66=21,J66,0)</f>
        <v>0</v>
      </c>
      <c r="AN66" s="37">
        <v>21</v>
      </c>
      <c r="AO66" s="37">
        <f>G66*0.526876412</f>
        <v>0</v>
      </c>
      <c r="AP66" s="37">
        <f>G66*(1-0.526876412)</f>
        <v>0</v>
      </c>
      <c r="AQ66" s="72" t="s">
        <v>219</v>
      </c>
      <c r="AV66" s="37">
        <f>AW66+AX66</f>
        <v>0</v>
      </c>
      <c r="AW66" s="37">
        <f>F66*AO66</f>
        <v>0</v>
      </c>
      <c r="AX66" s="37">
        <f>F66*AP66</f>
        <v>0</v>
      </c>
      <c r="AY66" s="72" t="s">
        <v>352</v>
      </c>
      <c r="AZ66" s="72" t="s">
        <v>315</v>
      </c>
      <c r="BA66" s="49" t="s">
        <v>226</v>
      </c>
      <c r="BC66" s="37">
        <f>AW66+AX66</f>
        <v>0</v>
      </c>
      <c r="BD66" s="37">
        <f>G66/(100-BE66)*100</f>
        <v>0</v>
      </c>
      <c r="BE66" s="37">
        <v>0</v>
      </c>
      <c r="BF66" s="37">
        <f>66</f>
        <v>66</v>
      </c>
      <c r="BH66" s="37">
        <f>F66*AO66</f>
        <v>0</v>
      </c>
      <c r="BI66" s="37">
        <f>F66*AP66</f>
        <v>0</v>
      </c>
      <c r="BJ66" s="37">
        <f>F66*G66</f>
        <v>0</v>
      </c>
      <c r="BK66" s="37"/>
      <c r="BL66" s="37">
        <v>34</v>
      </c>
      <c r="BW66" s="37">
        <v>21</v>
      </c>
      <c r="BX66" s="3" t="s">
        <v>357</v>
      </c>
    </row>
    <row r="67" spans="1:76" x14ac:dyDescent="0.25">
      <c r="A67" s="1" t="s">
        <v>358</v>
      </c>
      <c r="B67" s="2" t="s">
        <v>359</v>
      </c>
      <c r="C67" s="279" t="s">
        <v>360</v>
      </c>
      <c r="D67" s="280"/>
      <c r="E67" s="2" t="s">
        <v>249</v>
      </c>
      <c r="F67" s="37">
        <v>23.436699999999998</v>
      </c>
      <c r="G67" s="78">
        <v>0</v>
      </c>
      <c r="H67" s="37">
        <f>F67*AO67</f>
        <v>0</v>
      </c>
      <c r="I67" s="37">
        <f>F67*AP67</f>
        <v>0</v>
      </c>
      <c r="J67" s="37">
        <f>F67*G67</f>
        <v>0</v>
      </c>
      <c r="K67" s="79" t="s">
        <v>223</v>
      </c>
      <c r="Z67" s="37">
        <f>IF(AQ67="5",BJ67,0)</f>
        <v>0</v>
      </c>
      <c r="AB67" s="37">
        <f>IF(AQ67="1",BH67,0)</f>
        <v>0</v>
      </c>
      <c r="AC67" s="37">
        <f>IF(AQ67="1",BI67,0)</f>
        <v>0</v>
      </c>
      <c r="AD67" s="37">
        <f>IF(AQ67="7",BH67,0)</f>
        <v>0</v>
      </c>
      <c r="AE67" s="37">
        <f>IF(AQ67="7",BI67,0)</f>
        <v>0</v>
      </c>
      <c r="AF67" s="37">
        <f>IF(AQ67="2",BH67,0)</f>
        <v>0</v>
      </c>
      <c r="AG67" s="37">
        <f>IF(AQ67="2",BI67,0)</f>
        <v>0</v>
      </c>
      <c r="AH67" s="37">
        <f>IF(AQ67="0",BJ67,0)</f>
        <v>0</v>
      </c>
      <c r="AI67" s="49" t="s">
        <v>89</v>
      </c>
      <c r="AJ67" s="37">
        <f>IF(AN67=0,J67,0)</f>
        <v>0</v>
      </c>
      <c r="AK67" s="37">
        <f>IF(AN67=12,J67,0)</f>
        <v>0</v>
      </c>
      <c r="AL67" s="37">
        <f>IF(AN67=21,J67,0)</f>
        <v>0</v>
      </c>
      <c r="AN67" s="37">
        <v>21</v>
      </c>
      <c r="AO67" s="37">
        <f>G67*0.634883784</f>
        <v>0</v>
      </c>
      <c r="AP67" s="37">
        <f>G67*(1-0.634883784)</f>
        <v>0</v>
      </c>
      <c r="AQ67" s="72" t="s">
        <v>219</v>
      </c>
      <c r="AV67" s="37">
        <f>AW67+AX67</f>
        <v>0</v>
      </c>
      <c r="AW67" s="37">
        <f>F67*AO67</f>
        <v>0</v>
      </c>
      <c r="AX67" s="37">
        <f>F67*AP67</f>
        <v>0</v>
      </c>
      <c r="AY67" s="72" t="s">
        <v>352</v>
      </c>
      <c r="AZ67" s="72" t="s">
        <v>315</v>
      </c>
      <c r="BA67" s="49" t="s">
        <v>226</v>
      </c>
      <c r="BC67" s="37">
        <f>AW67+AX67</f>
        <v>0</v>
      </c>
      <c r="BD67" s="37">
        <f>G67/(100-BE67)*100</f>
        <v>0</v>
      </c>
      <c r="BE67" s="37">
        <v>0</v>
      </c>
      <c r="BF67" s="37">
        <f>67</f>
        <v>67</v>
      </c>
      <c r="BH67" s="37">
        <f>F67*AO67</f>
        <v>0</v>
      </c>
      <c r="BI67" s="37">
        <f>F67*AP67</f>
        <v>0</v>
      </c>
      <c r="BJ67" s="37">
        <f>F67*G67</f>
        <v>0</v>
      </c>
      <c r="BK67" s="37"/>
      <c r="BL67" s="37">
        <v>34</v>
      </c>
      <c r="BW67" s="37">
        <v>21</v>
      </c>
      <c r="BX67" s="3" t="s">
        <v>360</v>
      </c>
    </row>
    <row r="68" spans="1:76" x14ac:dyDescent="0.25">
      <c r="A68" s="1" t="s">
        <v>361</v>
      </c>
      <c r="B68" s="2" t="s">
        <v>362</v>
      </c>
      <c r="C68" s="279" t="s">
        <v>363</v>
      </c>
      <c r="D68" s="280"/>
      <c r="E68" s="2" t="s">
        <v>249</v>
      </c>
      <c r="F68" s="37">
        <v>2.8365</v>
      </c>
      <c r="G68" s="78">
        <v>0</v>
      </c>
      <c r="H68" s="37">
        <f>F68*AO68</f>
        <v>0</v>
      </c>
      <c r="I68" s="37">
        <f>F68*AP68</f>
        <v>0</v>
      </c>
      <c r="J68" s="37">
        <f>F68*G68</f>
        <v>0</v>
      </c>
      <c r="K68" s="79" t="s">
        <v>236</v>
      </c>
      <c r="Z68" s="37">
        <f>IF(AQ68="5",BJ68,0)</f>
        <v>0</v>
      </c>
      <c r="AB68" s="37">
        <f>IF(AQ68="1",BH68,0)</f>
        <v>0</v>
      </c>
      <c r="AC68" s="37">
        <f>IF(AQ68="1",BI68,0)</f>
        <v>0</v>
      </c>
      <c r="AD68" s="37">
        <f>IF(AQ68="7",BH68,0)</f>
        <v>0</v>
      </c>
      <c r="AE68" s="37">
        <f>IF(AQ68="7",BI68,0)</f>
        <v>0</v>
      </c>
      <c r="AF68" s="37">
        <f>IF(AQ68="2",BH68,0)</f>
        <v>0</v>
      </c>
      <c r="AG68" s="37">
        <f>IF(AQ68="2",BI68,0)</f>
        <v>0</v>
      </c>
      <c r="AH68" s="37">
        <f>IF(AQ68="0",BJ68,0)</f>
        <v>0</v>
      </c>
      <c r="AI68" s="49" t="s">
        <v>89</v>
      </c>
      <c r="AJ68" s="37">
        <f>IF(AN68=0,J68,0)</f>
        <v>0</v>
      </c>
      <c r="AK68" s="37">
        <f>IF(AN68=12,J68,0)</f>
        <v>0</v>
      </c>
      <c r="AL68" s="37">
        <f>IF(AN68=21,J68,0)</f>
        <v>0</v>
      </c>
      <c r="AN68" s="37">
        <v>21</v>
      </c>
      <c r="AO68" s="37">
        <f>G68*0.646886064</f>
        <v>0</v>
      </c>
      <c r="AP68" s="37">
        <f>G68*(1-0.646886064)</f>
        <v>0</v>
      </c>
      <c r="AQ68" s="72" t="s">
        <v>219</v>
      </c>
      <c r="AV68" s="37">
        <f>AW68+AX68</f>
        <v>0</v>
      </c>
      <c r="AW68" s="37">
        <f>F68*AO68</f>
        <v>0</v>
      </c>
      <c r="AX68" s="37">
        <f>F68*AP68</f>
        <v>0</v>
      </c>
      <c r="AY68" s="72" t="s">
        <v>352</v>
      </c>
      <c r="AZ68" s="72" t="s">
        <v>315</v>
      </c>
      <c r="BA68" s="49" t="s">
        <v>226</v>
      </c>
      <c r="BC68" s="37">
        <f>AW68+AX68</f>
        <v>0</v>
      </c>
      <c r="BD68" s="37">
        <f>G68/(100-BE68)*100</f>
        <v>0</v>
      </c>
      <c r="BE68" s="37">
        <v>0</v>
      </c>
      <c r="BF68" s="37">
        <f>68</f>
        <v>68</v>
      </c>
      <c r="BH68" s="37">
        <f>F68*AO68</f>
        <v>0</v>
      </c>
      <c r="BI68" s="37">
        <f>F68*AP68</f>
        <v>0</v>
      </c>
      <c r="BJ68" s="37">
        <f>F68*G68</f>
        <v>0</v>
      </c>
      <c r="BK68" s="37"/>
      <c r="BL68" s="37">
        <v>34</v>
      </c>
      <c r="BW68" s="37">
        <v>21</v>
      </c>
      <c r="BX68" s="3" t="s">
        <v>363</v>
      </c>
    </row>
    <row r="69" spans="1:76" x14ac:dyDescent="0.25">
      <c r="A69" s="80" t="s">
        <v>4</v>
      </c>
      <c r="B69" s="81" t="s">
        <v>113</v>
      </c>
      <c r="C69" s="365" t="s">
        <v>114</v>
      </c>
      <c r="D69" s="366"/>
      <c r="E69" s="82" t="s">
        <v>81</v>
      </c>
      <c r="F69" s="82" t="s">
        <v>81</v>
      </c>
      <c r="G69" s="83" t="s">
        <v>81</v>
      </c>
      <c r="H69" s="43">
        <f>SUM(H70:H78)</f>
        <v>0</v>
      </c>
      <c r="I69" s="43">
        <f>SUM(I70:I78)</f>
        <v>0</v>
      </c>
      <c r="J69" s="43">
        <f>SUM(J70:J78)</f>
        <v>0</v>
      </c>
      <c r="K69" s="84" t="s">
        <v>4</v>
      </c>
      <c r="AI69" s="49" t="s">
        <v>89</v>
      </c>
      <c r="AS69" s="43">
        <f>SUM(AJ70:AJ78)</f>
        <v>0</v>
      </c>
      <c r="AT69" s="43">
        <f>SUM(AK70:AK78)</f>
        <v>0</v>
      </c>
      <c r="AU69" s="43">
        <f>SUM(AL70:AL78)</f>
        <v>0</v>
      </c>
    </row>
    <row r="70" spans="1:76" x14ac:dyDescent="0.25">
      <c r="A70" s="1" t="s">
        <v>364</v>
      </c>
      <c r="B70" s="2" t="s">
        <v>365</v>
      </c>
      <c r="C70" s="279" t="s">
        <v>366</v>
      </c>
      <c r="D70" s="280"/>
      <c r="E70" s="2" t="s">
        <v>222</v>
      </c>
      <c r="F70" s="37">
        <v>0.17956</v>
      </c>
      <c r="G70" s="78">
        <v>0</v>
      </c>
      <c r="H70" s="37">
        <f t="shared" ref="H70:H78" si="68">F70*AO70</f>
        <v>0</v>
      </c>
      <c r="I70" s="37">
        <f t="shared" ref="I70:I78" si="69">F70*AP70</f>
        <v>0</v>
      </c>
      <c r="J70" s="37">
        <f t="shared" ref="J70:J78" si="70">F70*G70</f>
        <v>0</v>
      </c>
      <c r="K70" s="79" t="s">
        <v>223</v>
      </c>
      <c r="Z70" s="37">
        <f t="shared" ref="Z70:Z78" si="71">IF(AQ70="5",BJ70,0)</f>
        <v>0</v>
      </c>
      <c r="AB70" s="37">
        <f t="shared" ref="AB70:AB78" si="72">IF(AQ70="1",BH70,0)</f>
        <v>0</v>
      </c>
      <c r="AC70" s="37">
        <f t="shared" ref="AC70:AC78" si="73">IF(AQ70="1",BI70,0)</f>
        <v>0</v>
      </c>
      <c r="AD70" s="37">
        <f t="shared" ref="AD70:AD78" si="74">IF(AQ70="7",BH70,0)</f>
        <v>0</v>
      </c>
      <c r="AE70" s="37">
        <f t="shared" ref="AE70:AE78" si="75">IF(AQ70="7",BI70,0)</f>
        <v>0</v>
      </c>
      <c r="AF70" s="37">
        <f t="shared" ref="AF70:AF78" si="76">IF(AQ70="2",BH70,0)</f>
        <v>0</v>
      </c>
      <c r="AG70" s="37">
        <f t="shared" ref="AG70:AG78" si="77">IF(AQ70="2",BI70,0)</f>
        <v>0</v>
      </c>
      <c r="AH70" s="37">
        <f t="shared" ref="AH70:AH78" si="78">IF(AQ70="0",BJ70,0)</f>
        <v>0</v>
      </c>
      <c r="AI70" s="49" t="s">
        <v>89</v>
      </c>
      <c r="AJ70" s="37">
        <f t="shared" ref="AJ70:AJ78" si="79">IF(AN70=0,J70,0)</f>
        <v>0</v>
      </c>
      <c r="AK70" s="37">
        <f t="shared" ref="AK70:AK78" si="80">IF(AN70=12,J70,0)</f>
        <v>0</v>
      </c>
      <c r="AL70" s="37">
        <f t="shared" ref="AL70:AL78" si="81">IF(AN70=21,J70,0)</f>
        <v>0</v>
      </c>
      <c r="AN70" s="37">
        <v>21</v>
      </c>
      <c r="AO70" s="37">
        <f>G70*0.860555941</f>
        <v>0</v>
      </c>
      <c r="AP70" s="37">
        <f>G70*(1-0.860555941)</f>
        <v>0</v>
      </c>
      <c r="AQ70" s="72" t="s">
        <v>219</v>
      </c>
      <c r="AV70" s="37">
        <f t="shared" ref="AV70:AV78" si="82">AW70+AX70</f>
        <v>0</v>
      </c>
      <c r="AW70" s="37">
        <f t="shared" ref="AW70:AW78" si="83">F70*AO70</f>
        <v>0</v>
      </c>
      <c r="AX70" s="37">
        <f t="shared" ref="AX70:AX78" si="84">F70*AP70</f>
        <v>0</v>
      </c>
      <c r="AY70" s="72" t="s">
        <v>367</v>
      </c>
      <c r="AZ70" s="72" t="s">
        <v>368</v>
      </c>
      <c r="BA70" s="49" t="s">
        <v>226</v>
      </c>
      <c r="BC70" s="37">
        <f t="shared" ref="BC70:BC78" si="85">AW70+AX70</f>
        <v>0</v>
      </c>
      <c r="BD70" s="37">
        <f t="shared" ref="BD70:BD78" si="86">G70/(100-BE70)*100</f>
        <v>0</v>
      </c>
      <c r="BE70" s="37">
        <v>0</v>
      </c>
      <c r="BF70" s="37">
        <f>70</f>
        <v>70</v>
      </c>
      <c r="BH70" s="37">
        <f t="shared" ref="BH70:BH78" si="87">F70*AO70</f>
        <v>0</v>
      </c>
      <c r="BI70" s="37">
        <f t="shared" ref="BI70:BI78" si="88">F70*AP70</f>
        <v>0</v>
      </c>
      <c r="BJ70" s="37">
        <f t="shared" ref="BJ70:BJ78" si="89">F70*G70</f>
        <v>0</v>
      </c>
      <c r="BK70" s="37"/>
      <c r="BL70" s="37">
        <v>41</v>
      </c>
      <c r="BW70" s="37">
        <v>21</v>
      </c>
      <c r="BX70" s="3" t="s">
        <v>366</v>
      </c>
    </row>
    <row r="71" spans="1:76" x14ac:dyDescent="0.25">
      <c r="A71" s="1" t="s">
        <v>369</v>
      </c>
      <c r="B71" s="2" t="s">
        <v>370</v>
      </c>
      <c r="C71" s="279" t="s">
        <v>371</v>
      </c>
      <c r="D71" s="280"/>
      <c r="E71" s="2" t="s">
        <v>249</v>
      </c>
      <c r="F71" s="37">
        <v>2.0636000000000001</v>
      </c>
      <c r="G71" s="78">
        <v>0</v>
      </c>
      <c r="H71" s="37">
        <f t="shared" si="68"/>
        <v>0</v>
      </c>
      <c r="I71" s="37">
        <f t="shared" si="69"/>
        <v>0</v>
      </c>
      <c r="J71" s="37">
        <f t="shared" si="70"/>
        <v>0</v>
      </c>
      <c r="K71" s="79" t="s">
        <v>223</v>
      </c>
      <c r="Z71" s="37">
        <f t="shared" si="71"/>
        <v>0</v>
      </c>
      <c r="AB71" s="37">
        <f t="shared" si="72"/>
        <v>0</v>
      </c>
      <c r="AC71" s="37">
        <f t="shared" si="73"/>
        <v>0</v>
      </c>
      <c r="AD71" s="37">
        <f t="shared" si="74"/>
        <v>0</v>
      </c>
      <c r="AE71" s="37">
        <f t="shared" si="75"/>
        <v>0</v>
      </c>
      <c r="AF71" s="37">
        <f t="shared" si="76"/>
        <v>0</v>
      </c>
      <c r="AG71" s="37">
        <f t="shared" si="77"/>
        <v>0</v>
      </c>
      <c r="AH71" s="37">
        <f t="shared" si="78"/>
        <v>0</v>
      </c>
      <c r="AI71" s="49" t="s">
        <v>89</v>
      </c>
      <c r="AJ71" s="37">
        <f t="shared" si="79"/>
        <v>0</v>
      </c>
      <c r="AK71" s="37">
        <f t="shared" si="80"/>
        <v>0</v>
      </c>
      <c r="AL71" s="37">
        <f t="shared" si="81"/>
        <v>0</v>
      </c>
      <c r="AN71" s="37">
        <v>21</v>
      </c>
      <c r="AO71" s="37">
        <f>G71*0.456566308</f>
        <v>0</v>
      </c>
      <c r="AP71" s="37">
        <f>G71*(1-0.456566308)</f>
        <v>0</v>
      </c>
      <c r="AQ71" s="72" t="s">
        <v>219</v>
      </c>
      <c r="AV71" s="37">
        <f t="shared" si="82"/>
        <v>0</v>
      </c>
      <c r="AW71" s="37">
        <f t="shared" si="83"/>
        <v>0</v>
      </c>
      <c r="AX71" s="37">
        <f t="shared" si="84"/>
        <v>0</v>
      </c>
      <c r="AY71" s="72" t="s">
        <v>367</v>
      </c>
      <c r="AZ71" s="72" t="s">
        <v>368</v>
      </c>
      <c r="BA71" s="49" t="s">
        <v>226</v>
      </c>
      <c r="BC71" s="37">
        <f t="shared" si="85"/>
        <v>0</v>
      </c>
      <c r="BD71" s="37">
        <f t="shared" si="86"/>
        <v>0</v>
      </c>
      <c r="BE71" s="37">
        <v>0</v>
      </c>
      <c r="BF71" s="37">
        <f>71</f>
        <v>71</v>
      </c>
      <c r="BH71" s="37">
        <f t="shared" si="87"/>
        <v>0</v>
      </c>
      <c r="BI71" s="37">
        <f t="shared" si="88"/>
        <v>0</v>
      </c>
      <c r="BJ71" s="37">
        <f t="shared" si="89"/>
        <v>0</v>
      </c>
      <c r="BK71" s="37"/>
      <c r="BL71" s="37">
        <v>41</v>
      </c>
      <c r="BW71" s="37">
        <v>21</v>
      </c>
      <c r="BX71" s="3" t="s">
        <v>371</v>
      </c>
    </row>
    <row r="72" spans="1:76" x14ac:dyDescent="0.25">
      <c r="A72" s="1" t="s">
        <v>372</v>
      </c>
      <c r="B72" s="2" t="s">
        <v>373</v>
      </c>
      <c r="C72" s="279" t="s">
        <v>374</v>
      </c>
      <c r="D72" s="280"/>
      <c r="E72" s="2" t="s">
        <v>249</v>
      </c>
      <c r="F72" s="37">
        <v>2.0636000000000001</v>
      </c>
      <c r="G72" s="78">
        <v>0</v>
      </c>
      <c r="H72" s="37">
        <f t="shared" si="68"/>
        <v>0</v>
      </c>
      <c r="I72" s="37">
        <f t="shared" si="69"/>
        <v>0</v>
      </c>
      <c r="J72" s="37">
        <f t="shared" si="70"/>
        <v>0</v>
      </c>
      <c r="K72" s="79" t="s">
        <v>223</v>
      </c>
      <c r="Z72" s="37">
        <f t="shared" si="71"/>
        <v>0</v>
      </c>
      <c r="AB72" s="37">
        <f t="shared" si="72"/>
        <v>0</v>
      </c>
      <c r="AC72" s="37">
        <f t="shared" si="73"/>
        <v>0</v>
      </c>
      <c r="AD72" s="37">
        <f t="shared" si="74"/>
        <v>0</v>
      </c>
      <c r="AE72" s="37">
        <f t="shared" si="75"/>
        <v>0</v>
      </c>
      <c r="AF72" s="37">
        <f t="shared" si="76"/>
        <v>0</v>
      </c>
      <c r="AG72" s="37">
        <f t="shared" si="77"/>
        <v>0</v>
      </c>
      <c r="AH72" s="37">
        <f t="shared" si="78"/>
        <v>0</v>
      </c>
      <c r="AI72" s="49" t="s">
        <v>89</v>
      </c>
      <c r="AJ72" s="37">
        <f t="shared" si="79"/>
        <v>0</v>
      </c>
      <c r="AK72" s="37">
        <f t="shared" si="80"/>
        <v>0</v>
      </c>
      <c r="AL72" s="37">
        <f t="shared" si="81"/>
        <v>0</v>
      </c>
      <c r="AN72" s="37">
        <v>21</v>
      </c>
      <c r="AO72" s="37">
        <f>G72*0</f>
        <v>0</v>
      </c>
      <c r="AP72" s="37">
        <f>G72*(1-0)</f>
        <v>0</v>
      </c>
      <c r="AQ72" s="72" t="s">
        <v>219</v>
      </c>
      <c r="AV72" s="37">
        <f t="shared" si="82"/>
        <v>0</v>
      </c>
      <c r="AW72" s="37">
        <f t="shared" si="83"/>
        <v>0</v>
      </c>
      <c r="AX72" s="37">
        <f t="shared" si="84"/>
        <v>0</v>
      </c>
      <c r="AY72" s="72" t="s">
        <v>367</v>
      </c>
      <c r="AZ72" s="72" t="s">
        <v>368</v>
      </c>
      <c r="BA72" s="49" t="s">
        <v>226</v>
      </c>
      <c r="BC72" s="37">
        <f t="shared" si="85"/>
        <v>0</v>
      </c>
      <c r="BD72" s="37">
        <f t="shared" si="86"/>
        <v>0</v>
      </c>
      <c r="BE72" s="37">
        <v>0</v>
      </c>
      <c r="BF72" s="37">
        <f>72</f>
        <v>72</v>
      </c>
      <c r="BH72" s="37">
        <f t="shared" si="87"/>
        <v>0</v>
      </c>
      <c r="BI72" s="37">
        <f t="shared" si="88"/>
        <v>0</v>
      </c>
      <c r="BJ72" s="37">
        <f t="shared" si="89"/>
        <v>0</v>
      </c>
      <c r="BK72" s="37"/>
      <c r="BL72" s="37">
        <v>41</v>
      </c>
      <c r="BW72" s="37">
        <v>21</v>
      </c>
      <c r="BX72" s="3" t="s">
        <v>374</v>
      </c>
    </row>
    <row r="73" spans="1:76" x14ac:dyDescent="0.25">
      <c r="A73" s="1" t="s">
        <v>375</v>
      </c>
      <c r="B73" s="2" t="s">
        <v>376</v>
      </c>
      <c r="C73" s="279" t="s">
        <v>377</v>
      </c>
      <c r="D73" s="280"/>
      <c r="E73" s="2" t="s">
        <v>296</v>
      </c>
      <c r="F73" s="37">
        <v>9.58E-3</v>
      </c>
      <c r="G73" s="78">
        <v>0</v>
      </c>
      <c r="H73" s="37">
        <f t="shared" si="68"/>
        <v>0</v>
      </c>
      <c r="I73" s="37">
        <f t="shared" si="69"/>
        <v>0</v>
      </c>
      <c r="J73" s="37">
        <f t="shared" si="70"/>
        <v>0</v>
      </c>
      <c r="K73" s="79" t="s">
        <v>223</v>
      </c>
      <c r="Z73" s="37">
        <f t="shared" si="71"/>
        <v>0</v>
      </c>
      <c r="AB73" s="37">
        <f t="shared" si="72"/>
        <v>0</v>
      </c>
      <c r="AC73" s="37">
        <f t="shared" si="73"/>
        <v>0</v>
      </c>
      <c r="AD73" s="37">
        <f t="shared" si="74"/>
        <v>0</v>
      </c>
      <c r="AE73" s="37">
        <f t="shared" si="75"/>
        <v>0</v>
      </c>
      <c r="AF73" s="37">
        <f t="shared" si="76"/>
        <v>0</v>
      </c>
      <c r="AG73" s="37">
        <f t="shared" si="77"/>
        <v>0</v>
      </c>
      <c r="AH73" s="37">
        <f t="shared" si="78"/>
        <v>0</v>
      </c>
      <c r="AI73" s="49" t="s">
        <v>89</v>
      </c>
      <c r="AJ73" s="37">
        <f t="shared" si="79"/>
        <v>0</v>
      </c>
      <c r="AK73" s="37">
        <f t="shared" si="80"/>
        <v>0</v>
      </c>
      <c r="AL73" s="37">
        <f t="shared" si="81"/>
        <v>0</v>
      </c>
      <c r="AN73" s="37">
        <v>21</v>
      </c>
      <c r="AO73" s="37">
        <f>G73*0.714013435</f>
        <v>0</v>
      </c>
      <c r="AP73" s="37">
        <f>G73*(1-0.714013435)</f>
        <v>0</v>
      </c>
      <c r="AQ73" s="72" t="s">
        <v>219</v>
      </c>
      <c r="AV73" s="37">
        <f t="shared" si="82"/>
        <v>0</v>
      </c>
      <c r="AW73" s="37">
        <f t="shared" si="83"/>
        <v>0</v>
      </c>
      <c r="AX73" s="37">
        <f t="shared" si="84"/>
        <v>0</v>
      </c>
      <c r="AY73" s="72" t="s">
        <v>367</v>
      </c>
      <c r="AZ73" s="72" t="s">
        <v>368</v>
      </c>
      <c r="BA73" s="49" t="s">
        <v>226</v>
      </c>
      <c r="BC73" s="37">
        <f t="shared" si="85"/>
        <v>0</v>
      </c>
      <c r="BD73" s="37">
        <f t="shared" si="86"/>
        <v>0</v>
      </c>
      <c r="BE73" s="37">
        <v>0</v>
      </c>
      <c r="BF73" s="37">
        <f>73</f>
        <v>73</v>
      </c>
      <c r="BH73" s="37">
        <f t="shared" si="87"/>
        <v>0</v>
      </c>
      <c r="BI73" s="37">
        <f t="shared" si="88"/>
        <v>0</v>
      </c>
      <c r="BJ73" s="37">
        <f t="shared" si="89"/>
        <v>0</v>
      </c>
      <c r="BK73" s="37"/>
      <c r="BL73" s="37">
        <v>41</v>
      </c>
      <c r="BW73" s="37">
        <v>21</v>
      </c>
      <c r="BX73" s="3" t="s">
        <v>377</v>
      </c>
    </row>
    <row r="74" spans="1:76" x14ac:dyDescent="0.25">
      <c r="A74" s="1" t="s">
        <v>378</v>
      </c>
      <c r="B74" s="2" t="s">
        <v>379</v>
      </c>
      <c r="C74" s="279" t="s">
        <v>380</v>
      </c>
      <c r="D74" s="280"/>
      <c r="E74" s="2" t="s">
        <v>222</v>
      </c>
      <c r="F74" s="37">
        <v>0.36575000000000002</v>
      </c>
      <c r="G74" s="78">
        <v>0</v>
      </c>
      <c r="H74" s="37">
        <f t="shared" si="68"/>
        <v>0</v>
      </c>
      <c r="I74" s="37">
        <f t="shared" si="69"/>
        <v>0</v>
      </c>
      <c r="J74" s="37">
        <f t="shared" si="70"/>
        <v>0</v>
      </c>
      <c r="K74" s="79" t="s">
        <v>223</v>
      </c>
      <c r="Z74" s="37">
        <f t="shared" si="71"/>
        <v>0</v>
      </c>
      <c r="AB74" s="37">
        <f t="shared" si="72"/>
        <v>0</v>
      </c>
      <c r="AC74" s="37">
        <f t="shared" si="73"/>
        <v>0</v>
      </c>
      <c r="AD74" s="37">
        <f t="shared" si="74"/>
        <v>0</v>
      </c>
      <c r="AE74" s="37">
        <f t="shared" si="75"/>
        <v>0</v>
      </c>
      <c r="AF74" s="37">
        <f t="shared" si="76"/>
        <v>0</v>
      </c>
      <c r="AG74" s="37">
        <f t="shared" si="77"/>
        <v>0</v>
      </c>
      <c r="AH74" s="37">
        <f t="shared" si="78"/>
        <v>0</v>
      </c>
      <c r="AI74" s="49" t="s">
        <v>89</v>
      </c>
      <c r="AJ74" s="37">
        <f t="shared" si="79"/>
        <v>0</v>
      </c>
      <c r="AK74" s="37">
        <f t="shared" si="80"/>
        <v>0</v>
      </c>
      <c r="AL74" s="37">
        <f t="shared" si="81"/>
        <v>0</v>
      </c>
      <c r="AN74" s="37">
        <v>21</v>
      </c>
      <c r="AO74" s="37">
        <f>G74*0.830809045</f>
        <v>0</v>
      </c>
      <c r="AP74" s="37">
        <f>G74*(1-0.830809045)</f>
        <v>0</v>
      </c>
      <c r="AQ74" s="72" t="s">
        <v>219</v>
      </c>
      <c r="AV74" s="37">
        <f t="shared" si="82"/>
        <v>0</v>
      </c>
      <c r="AW74" s="37">
        <f t="shared" si="83"/>
        <v>0</v>
      </c>
      <c r="AX74" s="37">
        <f t="shared" si="84"/>
        <v>0</v>
      </c>
      <c r="AY74" s="72" t="s">
        <v>367</v>
      </c>
      <c r="AZ74" s="72" t="s">
        <v>368</v>
      </c>
      <c r="BA74" s="49" t="s">
        <v>226</v>
      </c>
      <c r="BC74" s="37">
        <f t="shared" si="85"/>
        <v>0</v>
      </c>
      <c r="BD74" s="37">
        <f t="shared" si="86"/>
        <v>0</v>
      </c>
      <c r="BE74" s="37">
        <v>0</v>
      </c>
      <c r="BF74" s="37">
        <f>74</f>
        <v>74</v>
      </c>
      <c r="BH74" s="37">
        <f t="shared" si="87"/>
        <v>0</v>
      </c>
      <c r="BI74" s="37">
        <f t="shared" si="88"/>
        <v>0</v>
      </c>
      <c r="BJ74" s="37">
        <f t="shared" si="89"/>
        <v>0</v>
      </c>
      <c r="BK74" s="37"/>
      <c r="BL74" s="37">
        <v>41</v>
      </c>
      <c r="BW74" s="37">
        <v>21</v>
      </c>
      <c r="BX74" s="3" t="s">
        <v>380</v>
      </c>
    </row>
    <row r="75" spans="1:76" x14ac:dyDescent="0.25">
      <c r="A75" s="1" t="s">
        <v>381</v>
      </c>
      <c r="B75" s="2" t="s">
        <v>382</v>
      </c>
      <c r="C75" s="279" t="s">
        <v>383</v>
      </c>
      <c r="D75" s="280"/>
      <c r="E75" s="2" t="s">
        <v>249</v>
      </c>
      <c r="F75" s="37">
        <v>4.8330000000000002</v>
      </c>
      <c r="G75" s="78">
        <v>0</v>
      </c>
      <c r="H75" s="37">
        <f t="shared" si="68"/>
        <v>0</v>
      </c>
      <c r="I75" s="37">
        <f t="shared" si="69"/>
        <v>0</v>
      </c>
      <c r="J75" s="37">
        <f t="shared" si="70"/>
        <v>0</v>
      </c>
      <c r="K75" s="79" t="s">
        <v>223</v>
      </c>
      <c r="Z75" s="37">
        <f t="shared" si="71"/>
        <v>0</v>
      </c>
      <c r="AB75" s="37">
        <f t="shared" si="72"/>
        <v>0</v>
      </c>
      <c r="AC75" s="37">
        <f t="shared" si="73"/>
        <v>0</v>
      </c>
      <c r="AD75" s="37">
        <f t="shared" si="74"/>
        <v>0</v>
      </c>
      <c r="AE75" s="37">
        <f t="shared" si="75"/>
        <v>0</v>
      </c>
      <c r="AF75" s="37">
        <f t="shared" si="76"/>
        <v>0</v>
      </c>
      <c r="AG75" s="37">
        <f t="shared" si="77"/>
        <v>0</v>
      </c>
      <c r="AH75" s="37">
        <f t="shared" si="78"/>
        <v>0</v>
      </c>
      <c r="AI75" s="49" t="s">
        <v>89</v>
      </c>
      <c r="AJ75" s="37">
        <f t="shared" si="79"/>
        <v>0</v>
      </c>
      <c r="AK75" s="37">
        <f t="shared" si="80"/>
        <v>0</v>
      </c>
      <c r="AL75" s="37">
        <f t="shared" si="81"/>
        <v>0</v>
      </c>
      <c r="AN75" s="37">
        <v>21</v>
      </c>
      <c r="AO75" s="37">
        <f>G75*0.563512508</f>
        <v>0</v>
      </c>
      <c r="AP75" s="37">
        <f>G75*(1-0.563512508)</f>
        <v>0</v>
      </c>
      <c r="AQ75" s="72" t="s">
        <v>219</v>
      </c>
      <c r="AV75" s="37">
        <f t="shared" si="82"/>
        <v>0</v>
      </c>
      <c r="AW75" s="37">
        <f t="shared" si="83"/>
        <v>0</v>
      </c>
      <c r="AX75" s="37">
        <f t="shared" si="84"/>
        <v>0</v>
      </c>
      <c r="AY75" s="72" t="s">
        <v>367</v>
      </c>
      <c r="AZ75" s="72" t="s">
        <v>368</v>
      </c>
      <c r="BA75" s="49" t="s">
        <v>226</v>
      </c>
      <c r="BC75" s="37">
        <f t="shared" si="85"/>
        <v>0</v>
      </c>
      <c r="BD75" s="37">
        <f t="shared" si="86"/>
        <v>0</v>
      </c>
      <c r="BE75" s="37">
        <v>0</v>
      </c>
      <c r="BF75" s="37">
        <f>75</f>
        <v>75</v>
      </c>
      <c r="BH75" s="37">
        <f t="shared" si="87"/>
        <v>0</v>
      </c>
      <c r="BI75" s="37">
        <f t="shared" si="88"/>
        <v>0</v>
      </c>
      <c r="BJ75" s="37">
        <f t="shared" si="89"/>
        <v>0</v>
      </c>
      <c r="BK75" s="37"/>
      <c r="BL75" s="37">
        <v>41</v>
      </c>
      <c r="BW75" s="37">
        <v>21</v>
      </c>
      <c r="BX75" s="3" t="s">
        <v>383</v>
      </c>
    </row>
    <row r="76" spans="1:76" x14ac:dyDescent="0.25">
      <c r="A76" s="1" t="s">
        <v>384</v>
      </c>
      <c r="B76" s="2" t="s">
        <v>385</v>
      </c>
      <c r="C76" s="279" t="s">
        <v>386</v>
      </c>
      <c r="D76" s="280"/>
      <c r="E76" s="2" t="s">
        <v>249</v>
      </c>
      <c r="F76" s="37">
        <v>4.8330000000000002</v>
      </c>
      <c r="G76" s="78">
        <v>0</v>
      </c>
      <c r="H76" s="37">
        <f t="shared" si="68"/>
        <v>0</v>
      </c>
      <c r="I76" s="37">
        <f t="shared" si="69"/>
        <v>0</v>
      </c>
      <c r="J76" s="37">
        <f t="shared" si="70"/>
        <v>0</v>
      </c>
      <c r="K76" s="79" t="s">
        <v>223</v>
      </c>
      <c r="Z76" s="37">
        <f t="shared" si="71"/>
        <v>0</v>
      </c>
      <c r="AB76" s="37">
        <f t="shared" si="72"/>
        <v>0</v>
      </c>
      <c r="AC76" s="37">
        <f t="shared" si="73"/>
        <v>0</v>
      </c>
      <c r="AD76" s="37">
        <f t="shared" si="74"/>
        <v>0</v>
      </c>
      <c r="AE76" s="37">
        <f t="shared" si="75"/>
        <v>0</v>
      </c>
      <c r="AF76" s="37">
        <f t="shared" si="76"/>
        <v>0</v>
      </c>
      <c r="AG76" s="37">
        <f t="shared" si="77"/>
        <v>0</v>
      </c>
      <c r="AH76" s="37">
        <f t="shared" si="78"/>
        <v>0</v>
      </c>
      <c r="AI76" s="49" t="s">
        <v>89</v>
      </c>
      <c r="AJ76" s="37">
        <f t="shared" si="79"/>
        <v>0</v>
      </c>
      <c r="AK76" s="37">
        <f t="shared" si="80"/>
        <v>0</v>
      </c>
      <c r="AL76" s="37">
        <f t="shared" si="81"/>
        <v>0</v>
      </c>
      <c r="AN76" s="37">
        <v>21</v>
      </c>
      <c r="AO76" s="37">
        <f>G76*0</f>
        <v>0</v>
      </c>
      <c r="AP76" s="37">
        <f>G76*(1-0)</f>
        <v>0</v>
      </c>
      <c r="AQ76" s="72" t="s">
        <v>219</v>
      </c>
      <c r="AV76" s="37">
        <f t="shared" si="82"/>
        <v>0</v>
      </c>
      <c r="AW76" s="37">
        <f t="shared" si="83"/>
        <v>0</v>
      </c>
      <c r="AX76" s="37">
        <f t="shared" si="84"/>
        <v>0</v>
      </c>
      <c r="AY76" s="72" t="s">
        <v>367</v>
      </c>
      <c r="AZ76" s="72" t="s">
        <v>368</v>
      </c>
      <c r="BA76" s="49" t="s">
        <v>226</v>
      </c>
      <c r="BC76" s="37">
        <f t="shared" si="85"/>
        <v>0</v>
      </c>
      <c r="BD76" s="37">
        <f t="shared" si="86"/>
        <v>0</v>
      </c>
      <c r="BE76" s="37">
        <v>0</v>
      </c>
      <c r="BF76" s="37">
        <f>76</f>
        <v>76</v>
      </c>
      <c r="BH76" s="37">
        <f t="shared" si="87"/>
        <v>0</v>
      </c>
      <c r="BI76" s="37">
        <f t="shared" si="88"/>
        <v>0</v>
      </c>
      <c r="BJ76" s="37">
        <f t="shared" si="89"/>
        <v>0</v>
      </c>
      <c r="BK76" s="37"/>
      <c r="BL76" s="37">
        <v>41</v>
      </c>
      <c r="BW76" s="37">
        <v>21</v>
      </c>
      <c r="BX76" s="3" t="s">
        <v>386</v>
      </c>
    </row>
    <row r="77" spans="1:76" x14ac:dyDescent="0.25">
      <c r="A77" s="1" t="s">
        <v>387</v>
      </c>
      <c r="B77" s="2" t="s">
        <v>388</v>
      </c>
      <c r="C77" s="279" t="s">
        <v>389</v>
      </c>
      <c r="D77" s="280"/>
      <c r="E77" s="2" t="s">
        <v>296</v>
      </c>
      <c r="F77" s="37">
        <v>2.895E-2</v>
      </c>
      <c r="G77" s="78">
        <v>0</v>
      </c>
      <c r="H77" s="37">
        <f t="shared" si="68"/>
        <v>0</v>
      </c>
      <c r="I77" s="37">
        <f t="shared" si="69"/>
        <v>0</v>
      </c>
      <c r="J77" s="37">
        <f t="shared" si="70"/>
        <v>0</v>
      </c>
      <c r="K77" s="79" t="s">
        <v>223</v>
      </c>
      <c r="Z77" s="37">
        <f t="shared" si="71"/>
        <v>0</v>
      </c>
      <c r="AB77" s="37">
        <f t="shared" si="72"/>
        <v>0</v>
      </c>
      <c r="AC77" s="37">
        <f t="shared" si="73"/>
        <v>0</v>
      </c>
      <c r="AD77" s="37">
        <f t="shared" si="74"/>
        <v>0</v>
      </c>
      <c r="AE77" s="37">
        <f t="shared" si="75"/>
        <v>0</v>
      </c>
      <c r="AF77" s="37">
        <f t="shared" si="76"/>
        <v>0</v>
      </c>
      <c r="AG77" s="37">
        <f t="shared" si="77"/>
        <v>0</v>
      </c>
      <c r="AH77" s="37">
        <f t="shared" si="78"/>
        <v>0</v>
      </c>
      <c r="AI77" s="49" t="s">
        <v>89</v>
      </c>
      <c r="AJ77" s="37">
        <f t="shared" si="79"/>
        <v>0</v>
      </c>
      <c r="AK77" s="37">
        <f t="shared" si="80"/>
        <v>0</v>
      </c>
      <c r="AL77" s="37">
        <f t="shared" si="81"/>
        <v>0</v>
      </c>
      <c r="AN77" s="37">
        <v>21</v>
      </c>
      <c r="AO77" s="37">
        <f>G77*0.698743995</f>
        <v>0</v>
      </c>
      <c r="AP77" s="37">
        <f>G77*(1-0.698743995)</f>
        <v>0</v>
      </c>
      <c r="AQ77" s="72" t="s">
        <v>219</v>
      </c>
      <c r="AV77" s="37">
        <f t="shared" si="82"/>
        <v>0</v>
      </c>
      <c r="AW77" s="37">
        <f t="shared" si="83"/>
        <v>0</v>
      </c>
      <c r="AX77" s="37">
        <f t="shared" si="84"/>
        <v>0</v>
      </c>
      <c r="AY77" s="72" t="s">
        <v>367</v>
      </c>
      <c r="AZ77" s="72" t="s">
        <v>368</v>
      </c>
      <c r="BA77" s="49" t="s">
        <v>226</v>
      </c>
      <c r="BC77" s="37">
        <f t="shared" si="85"/>
        <v>0</v>
      </c>
      <c r="BD77" s="37">
        <f t="shared" si="86"/>
        <v>0</v>
      </c>
      <c r="BE77" s="37">
        <v>0</v>
      </c>
      <c r="BF77" s="37">
        <f>77</f>
        <v>77</v>
      </c>
      <c r="BH77" s="37">
        <f t="shared" si="87"/>
        <v>0</v>
      </c>
      <c r="BI77" s="37">
        <f t="shared" si="88"/>
        <v>0</v>
      </c>
      <c r="BJ77" s="37">
        <f t="shared" si="89"/>
        <v>0</v>
      </c>
      <c r="BK77" s="37"/>
      <c r="BL77" s="37">
        <v>41</v>
      </c>
      <c r="BW77" s="37">
        <v>21</v>
      </c>
      <c r="BX77" s="3" t="s">
        <v>389</v>
      </c>
    </row>
    <row r="78" spans="1:76" x14ac:dyDescent="0.25">
      <c r="A78" s="1" t="s">
        <v>390</v>
      </c>
      <c r="B78" s="2" t="s">
        <v>391</v>
      </c>
      <c r="C78" s="279" t="s">
        <v>392</v>
      </c>
      <c r="D78" s="280"/>
      <c r="E78" s="2" t="s">
        <v>249</v>
      </c>
      <c r="F78" s="37">
        <v>170.51</v>
      </c>
      <c r="G78" s="78">
        <v>0</v>
      </c>
      <c r="H78" s="37">
        <f t="shared" si="68"/>
        <v>0</v>
      </c>
      <c r="I78" s="37">
        <f t="shared" si="69"/>
        <v>0</v>
      </c>
      <c r="J78" s="37">
        <f t="shared" si="70"/>
        <v>0</v>
      </c>
      <c r="K78" s="79" t="s">
        <v>223</v>
      </c>
      <c r="Z78" s="37">
        <f t="shared" si="71"/>
        <v>0</v>
      </c>
      <c r="AB78" s="37">
        <f t="shared" si="72"/>
        <v>0</v>
      </c>
      <c r="AC78" s="37">
        <f t="shared" si="73"/>
        <v>0</v>
      </c>
      <c r="AD78" s="37">
        <f t="shared" si="74"/>
        <v>0</v>
      </c>
      <c r="AE78" s="37">
        <f t="shared" si="75"/>
        <v>0</v>
      </c>
      <c r="AF78" s="37">
        <f t="shared" si="76"/>
        <v>0</v>
      </c>
      <c r="AG78" s="37">
        <f t="shared" si="77"/>
        <v>0</v>
      </c>
      <c r="AH78" s="37">
        <f t="shared" si="78"/>
        <v>0</v>
      </c>
      <c r="AI78" s="49" t="s">
        <v>89</v>
      </c>
      <c r="AJ78" s="37">
        <f t="shared" si="79"/>
        <v>0</v>
      </c>
      <c r="AK78" s="37">
        <f t="shared" si="80"/>
        <v>0</v>
      </c>
      <c r="AL78" s="37">
        <f t="shared" si="81"/>
        <v>0</v>
      </c>
      <c r="AN78" s="37">
        <v>21</v>
      </c>
      <c r="AO78" s="37">
        <f>G78*0.422289292</f>
        <v>0</v>
      </c>
      <c r="AP78" s="37">
        <f>G78*(1-0.422289292)</f>
        <v>0</v>
      </c>
      <c r="AQ78" s="72" t="s">
        <v>219</v>
      </c>
      <c r="AV78" s="37">
        <f t="shared" si="82"/>
        <v>0</v>
      </c>
      <c r="AW78" s="37">
        <f t="shared" si="83"/>
        <v>0</v>
      </c>
      <c r="AX78" s="37">
        <f t="shared" si="84"/>
        <v>0</v>
      </c>
      <c r="AY78" s="72" t="s">
        <v>367</v>
      </c>
      <c r="AZ78" s="72" t="s">
        <v>368</v>
      </c>
      <c r="BA78" s="49" t="s">
        <v>226</v>
      </c>
      <c r="BC78" s="37">
        <f t="shared" si="85"/>
        <v>0</v>
      </c>
      <c r="BD78" s="37">
        <f t="shared" si="86"/>
        <v>0</v>
      </c>
      <c r="BE78" s="37">
        <v>0</v>
      </c>
      <c r="BF78" s="37">
        <f>78</f>
        <v>78</v>
      </c>
      <c r="BH78" s="37">
        <f t="shared" si="87"/>
        <v>0</v>
      </c>
      <c r="BI78" s="37">
        <f t="shared" si="88"/>
        <v>0</v>
      </c>
      <c r="BJ78" s="37">
        <f t="shared" si="89"/>
        <v>0</v>
      </c>
      <c r="BK78" s="37"/>
      <c r="BL78" s="37">
        <v>41</v>
      </c>
      <c r="BW78" s="37">
        <v>21</v>
      </c>
      <c r="BX78" s="3" t="s">
        <v>392</v>
      </c>
    </row>
    <row r="79" spans="1:76" x14ac:dyDescent="0.25">
      <c r="A79" s="80" t="s">
        <v>4</v>
      </c>
      <c r="B79" s="81" t="s">
        <v>115</v>
      </c>
      <c r="C79" s="365" t="s">
        <v>116</v>
      </c>
      <c r="D79" s="366"/>
      <c r="E79" s="82" t="s">
        <v>81</v>
      </c>
      <c r="F79" s="82" t="s">
        <v>81</v>
      </c>
      <c r="G79" s="83" t="s">
        <v>81</v>
      </c>
      <c r="H79" s="43">
        <f>SUM(H80:H85)</f>
        <v>0</v>
      </c>
      <c r="I79" s="43">
        <f>SUM(I80:I85)</f>
        <v>0</v>
      </c>
      <c r="J79" s="43">
        <f>SUM(J80:J85)</f>
        <v>0</v>
      </c>
      <c r="K79" s="84" t="s">
        <v>4</v>
      </c>
      <c r="AI79" s="49" t="s">
        <v>89</v>
      </c>
      <c r="AS79" s="43">
        <f>SUM(AJ80:AJ85)</f>
        <v>0</v>
      </c>
      <c r="AT79" s="43">
        <f>SUM(AK80:AK85)</f>
        <v>0</v>
      </c>
      <c r="AU79" s="43">
        <f>SUM(AL80:AL85)</f>
        <v>0</v>
      </c>
    </row>
    <row r="80" spans="1:76" x14ac:dyDescent="0.25">
      <c r="A80" s="1" t="s">
        <v>393</v>
      </c>
      <c r="B80" s="2" t="s">
        <v>394</v>
      </c>
      <c r="C80" s="279" t="s">
        <v>395</v>
      </c>
      <c r="D80" s="280"/>
      <c r="E80" s="2" t="s">
        <v>222</v>
      </c>
      <c r="F80" s="37">
        <v>1.0681099999999999</v>
      </c>
      <c r="G80" s="78">
        <v>0</v>
      </c>
      <c r="H80" s="37">
        <f t="shared" ref="H80:H85" si="90">F80*AO80</f>
        <v>0</v>
      </c>
      <c r="I80" s="37">
        <f t="shared" ref="I80:I85" si="91">F80*AP80</f>
        <v>0</v>
      </c>
      <c r="J80" s="37">
        <f t="shared" ref="J80:J85" si="92">F80*G80</f>
        <v>0</v>
      </c>
      <c r="K80" s="79" t="s">
        <v>223</v>
      </c>
      <c r="Z80" s="37">
        <f t="shared" ref="Z80:Z85" si="93">IF(AQ80="5",BJ80,0)</f>
        <v>0</v>
      </c>
      <c r="AB80" s="37">
        <f t="shared" ref="AB80:AB85" si="94">IF(AQ80="1",BH80,0)</f>
        <v>0</v>
      </c>
      <c r="AC80" s="37">
        <f t="shared" ref="AC80:AC85" si="95">IF(AQ80="1",BI80,0)</f>
        <v>0</v>
      </c>
      <c r="AD80" s="37">
        <f t="shared" ref="AD80:AD85" si="96">IF(AQ80="7",BH80,0)</f>
        <v>0</v>
      </c>
      <c r="AE80" s="37">
        <f t="shared" ref="AE80:AE85" si="97">IF(AQ80="7",BI80,0)</f>
        <v>0</v>
      </c>
      <c r="AF80" s="37">
        <f t="shared" ref="AF80:AF85" si="98">IF(AQ80="2",BH80,0)</f>
        <v>0</v>
      </c>
      <c r="AG80" s="37">
        <f t="shared" ref="AG80:AG85" si="99">IF(AQ80="2",BI80,0)</f>
        <v>0</v>
      </c>
      <c r="AH80" s="37">
        <f t="shared" ref="AH80:AH85" si="100">IF(AQ80="0",BJ80,0)</f>
        <v>0</v>
      </c>
      <c r="AI80" s="49" t="s">
        <v>89</v>
      </c>
      <c r="AJ80" s="37">
        <f t="shared" ref="AJ80:AJ85" si="101">IF(AN80=0,J80,0)</f>
        <v>0</v>
      </c>
      <c r="AK80" s="37">
        <f t="shared" ref="AK80:AK85" si="102">IF(AN80=12,J80,0)</f>
        <v>0</v>
      </c>
      <c r="AL80" s="37">
        <f t="shared" ref="AL80:AL85" si="103">IF(AN80=21,J80,0)</f>
        <v>0</v>
      </c>
      <c r="AN80" s="37">
        <v>21</v>
      </c>
      <c r="AO80" s="37">
        <f>G80*0.65057414</f>
        <v>0</v>
      </c>
      <c r="AP80" s="37">
        <f>G80*(1-0.65057414)</f>
        <v>0</v>
      </c>
      <c r="AQ80" s="72" t="s">
        <v>219</v>
      </c>
      <c r="AV80" s="37">
        <f t="shared" ref="AV80:AV85" si="104">AW80+AX80</f>
        <v>0</v>
      </c>
      <c r="AW80" s="37">
        <f t="shared" ref="AW80:AW85" si="105">F80*AO80</f>
        <v>0</v>
      </c>
      <c r="AX80" s="37">
        <f t="shared" ref="AX80:AX85" si="106">F80*AP80</f>
        <v>0</v>
      </c>
      <c r="AY80" s="72" t="s">
        <v>396</v>
      </c>
      <c r="AZ80" s="72" t="s">
        <v>368</v>
      </c>
      <c r="BA80" s="49" t="s">
        <v>226</v>
      </c>
      <c r="BC80" s="37">
        <f t="shared" ref="BC80:BC85" si="107">AW80+AX80</f>
        <v>0</v>
      </c>
      <c r="BD80" s="37">
        <f t="shared" ref="BD80:BD85" si="108">G80/(100-BE80)*100</f>
        <v>0</v>
      </c>
      <c r="BE80" s="37">
        <v>0</v>
      </c>
      <c r="BF80" s="37">
        <f>80</f>
        <v>80</v>
      </c>
      <c r="BH80" s="37">
        <f t="shared" ref="BH80:BH85" si="109">F80*AO80</f>
        <v>0</v>
      </c>
      <c r="BI80" s="37">
        <f t="shared" ref="BI80:BI85" si="110">F80*AP80</f>
        <v>0</v>
      </c>
      <c r="BJ80" s="37">
        <f t="shared" ref="BJ80:BJ85" si="111">F80*G80</f>
        <v>0</v>
      </c>
      <c r="BK80" s="37"/>
      <c r="BL80" s="37">
        <v>43</v>
      </c>
      <c r="BW80" s="37">
        <v>21</v>
      </c>
      <c r="BX80" s="3" t="s">
        <v>395</v>
      </c>
    </row>
    <row r="81" spans="1:76" x14ac:dyDescent="0.25">
      <c r="A81" s="1" t="s">
        <v>117</v>
      </c>
      <c r="B81" s="2" t="s">
        <v>397</v>
      </c>
      <c r="C81" s="279" t="s">
        <v>398</v>
      </c>
      <c r="D81" s="280"/>
      <c r="E81" s="2" t="s">
        <v>296</v>
      </c>
      <c r="F81" s="37">
        <v>3.075E-2</v>
      </c>
      <c r="G81" s="78">
        <v>0</v>
      </c>
      <c r="H81" s="37">
        <f t="shared" si="90"/>
        <v>0</v>
      </c>
      <c r="I81" s="37">
        <f t="shared" si="91"/>
        <v>0</v>
      </c>
      <c r="J81" s="37">
        <f t="shared" si="92"/>
        <v>0</v>
      </c>
      <c r="K81" s="79" t="s">
        <v>223</v>
      </c>
      <c r="Z81" s="37">
        <f t="shared" si="93"/>
        <v>0</v>
      </c>
      <c r="AB81" s="37">
        <f t="shared" si="94"/>
        <v>0</v>
      </c>
      <c r="AC81" s="37">
        <f t="shared" si="95"/>
        <v>0</v>
      </c>
      <c r="AD81" s="37">
        <f t="shared" si="96"/>
        <v>0</v>
      </c>
      <c r="AE81" s="37">
        <f t="shared" si="97"/>
        <v>0</v>
      </c>
      <c r="AF81" s="37">
        <f t="shared" si="98"/>
        <v>0</v>
      </c>
      <c r="AG81" s="37">
        <f t="shared" si="99"/>
        <v>0</v>
      </c>
      <c r="AH81" s="37">
        <f t="shared" si="100"/>
        <v>0</v>
      </c>
      <c r="AI81" s="49" t="s">
        <v>89</v>
      </c>
      <c r="AJ81" s="37">
        <f t="shared" si="101"/>
        <v>0</v>
      </c>
      <c r="AK81" s="37">
        <f t="shared" si="102"/>
        <v>0</v>
      </c>
      <c r="AL81" s="37">
        <f t="shared" si="103"/>
        <v>0</v>
      </c>
      <c r="AN81" s="37">
        <v>21</v>
      </c>
      <c r="AO81" s="37">
        <f>G81*0.721861037</f>
        <v>0</v>
      </c>
      <c r="AP81" s="37">
        <f>G81*(1-0.721861037)</f>
        <v>0</v>
      </c>
      <c r="AQ81" s="72" t="s">
        <v>219</v>
      </c>
      <c r="AV81" s="37">
        <f t="shared" si="104"/>
        <v>0</v>
      </c>
      <c r="AW81" s="37">
        <f t="shared" si="105"/>
        <v>0</v>
      </c>
      <c r="AX81" s="37">
        <f t="shared" si="106"/>
        <v>0</v>
      </c>
      <c r="AY81" s="72" t="s">
        <v>396</v>
      </c>
      <c r="AZ81" s="72" t="s">
        <v>368</v>
      </c>
      <c r="BA81" s="49" t="s">
        <v>226</v>
      </c>
      <c r="BC81" s="37">
        <f t="shared" si="107"/>
        <v>0</v>
      </c>
      <c r="BD81" s="37">
        <f t="shared" si="108"/>
        <v>0</v>
      </c>
      <c r="BE81" s="37">
        <v>0</v>
      </c>
      <c r="BF81" s="37">
        <f>81</f>
        <v>81</v>
      </c>
      <c r="BH81" s="37">
        <f t="shared" si="109"/>
        <v>0</v>
      </c>
      <c r="BI81" s="37">
        <f t="shared" si="110"/>
        <v>0</v>
      </c>
      <c r="BJ81" s="37">
        <f t="shared" si="111"/>
        <v>0</v>
      </c>
      <c r="BK81" s="37"/>
      <c r="BL81" s="37">
        <v>43</v>
      </c>
      <c r="BW81" s="37">
        <v>21</v>
      </c>
      <c r="BX81" s="3" t="s">
        <v>398</v>
      </c>
    </row>
    <row r="82" spans="1:76" x14ac:dyDescent="0.25">
      <c r="A82" s="1" t="s">
        <v>399</v>
      </c>
      <c r="B82" s="2" t="s">
        <v>400</v>
      </c>
      <c r="C82" s="279" t="s">
        <v>401</v>
      </c>
      <c r="D82" s="280"/>
      <c r="E82" s="2" t="s">
        <v>329</v>
      </c>
      <c r="F82" s="37">
        <v>6</v>
      </c>
      <c r="G82" s="78">
        <v>0</v>
      </c>
      <c r="H82" s="37">
        <f t="shared" si="90"/>
        <v>0</v>
      </c>
      <c r="I82" s="37">
        <f t="shared" si="91"/>
        <v>0</v>
      </c>
      <c r="J82" s="37">
        <f t="shared" si="92"/>
        <v>0</v>
      </c>
      <c r="K82" s="79" t="s">
        <v>223</v>
      </c>
      <c r="Z82" s="37">
        <f t="shared" si="93"/>
        <v>0</v>
      </c>
      <c r="AB82" s="37">
        <f t="shared" si="94"/>
        <v>0</v>
      </c>
      <c r="AC82" s="37">
        <f t="shared" si="95"/>
        <v>0</v>
      </c>
      <c r="AD82" s="37">
        <f t="shared" si="96"/>
        <v>0</v>
      </c>
      <c r="AE82" s="37">
        <f t="shared" si="97"/>
        <v>0</v>
      </c>
      <c r="AF82" s="37">
        <f t="shared" si="98"/>
        <v>0</v>
      </c>
      <c r="AG82" s="37">
        <f t="shared" si="99"/>
        <v>0</v>
      </c>
      <c r="AH82" s="37">
        <f t="shared" si="100"/>
        <v>0</v>
      </c>
      <c r="AI82" s="49" t="s">
        <v>89</v>
      </c>
      <c r="AJ82" s="37">
        <f t="shared" si="101"/>
        <v>0</v>
      </c>
      <c r="AK82" s="37">
        <f t="shared" si="102"/>
        <v>0</v>
      </c>
      <c r="AL82" s="37">
        <f t="shared" si="103"/>
        <v>0</v>
      </c>
      <c r="AN82" s="37">
        <v>21</v>
      </c>
      <c r="AO82" s="37">
        <f>G82*0.087416058</f>
        <v>0</v>
      </c>
      <c r="AP82" s="37">
        <f>G82*(1-0.087416058)</f>
        <v>0</v>
      </c>
      <c r="AQ82" s="72" t="s">
        <v>219</v>
      </c>
      <c r="AV82" s="37">
        <f t="shared" si="104"/>
        <v>0</v>
      </c>
      <c r="AW82" s="37">
        <f t="shared" si="105"/>
        <v>0</v>
      </c>
      <c r="AX82" s="37">
        <f t="shared" si="106"/>
        <v>0</v>
      </c>
      <c r="AY82" s="72" t="s">
        <v>396</v>
      </c>
      <c r="AZ82" s="72" t="s">
        <v>368</v>
      </c>
      <c r="BA82" s="49" t="s">
        <v>226</v>
      </c>
      <c r="BC82" s="37">
        <f t="shared" si="107"/>
        <v>0</v>
      </c>
      <c r="BD82" s="37">
        <f t="shared" si="108"/>
        <v>0</v>
      </c>
      <c r="BE82" s="37">
        <v>0</v>
      </c>
      <c r="BF82" s="37">
        <f>82</f>
        <v>82</v>
      </c>
      <c r="BH82" s="37">
        <f t="shared" si="109"/>
        <v>0</v>
      </c>
      <c r="BI82" s="37">
        <f t="shared" si="110"/>
        <v>0</v>
      </c>
      <c r="BJ82" s="37">
        <f t="shared" si="111"/>
        <v>0</v>
      </c>
      <c r="BK82" s="37"/>
      <c r="BL82" s="37">
        <v>43</v>
      </c>
      <c r="BW82" s="37">
        <v>21</v>
      </c>
      <c r="BX82" s="3" t="s">
        <v>401</v>
      </c>
    </row>
    <row r="83" spans="1:76" x14ac:dyDescent="0.25">
      <c r="A83" s="1" t="s">
        <v>402</v>
      </c>
      <c r="B83" s="2" t="s">
        <v>403</v>
      </c>
      <c r="C83" s="279" t="s">
        <v>404</v>
      </c>
      <c r="D83" s="280"/>
      <c r="E83" s="2" t="s">
        <v>329</v>
      </c>
      <c r="F83" s="37">
        <v>6</v>
      </c>
      <c r="G83" s="78">
        <v>0</v>
      </c>
      <c r="H83" s="37">
        <f t="shared" si="90"/>
        <v>0</v>
      </c>
      <c r="I83" s="37">
        <f t="shared" si="91"/>
        <v>0</v>
      </c>
      <c r="J83" s="37">
        <f t="shared" si="92"/>
        <v>0</v>
      </c>
      <c r="K83" s="79" t="s">
        <v>236</v>
      </c>
      <c r="Z83" s="37">
        <f t="shared" si="93"/>
        <v>0</v>
      </c>
      <c r="AB83" s="37">
        <f t="shared" si="94"/>
        <v>0</v>
      </c>
      <c r="AC83" s="37">
        <f t="shared" si="95"/>
        <v>0</v>
      </c>
      <c r="AD83" s="37">
        <f t="shared" si="96"/>
        <v>0</v>
      </c>
      <c r="AE83" s="37">
        <f t="shared" si="97"/>
        <v>0</v>
      </c>
      <c r="AF83" s="37">
        <f t="shared" si="98"/>
        <v>0</v>
      </c>
      <c r="AG83" s="37">
        <f t="shared" si="99"/>
        <v>0</v>
      </c>
      <c r="AH83" s="37">
        <f t="shared" si="100"/>
        <v>0</v>
      </c>
      <c r="AI83" s="49" t="s">
        <v>89</v>
      </c>
      <c r="AJ83" s="37">
        <f t="shared" si="101"/>
        <v>0</v>
      </c>
      <c r="AK83" s="37">
        <f t="shared" si="102"/>
        <v>0</v>
      </c>
      <c r="AL83" s="37">
        <f t="shared" si="103"/>
        <v>0</v>
      </c>
      <c r="AN83" s="37">
        <v>21</v>
      </c>
      <c r="AO83" s="37">
        <f>G83*1</f>
        <v>0</v>
      </c>
      <c r="AP83" s="37">
        <f>G83*(1-1)</f>
        <v>0</v>
      </c>
      <c r="AQ83" s="72" t="s">
        <v>219</v>
      </c>
      <c r="AV83" s="37">
        <f t="shared" si="104"/>
        <v>0</v>
      </c>
      <c r="AW83" s="37">
        <f t="shared" si="105"/>
        <v>0</v>
      </c>
      <c r="AX83" s="37">
        <f t="shared" si="106"/>
        <v>0</v>
      </c>
      <c r="AY83" s="72" t="s">
        <v>396</v>
      </c>
      <c r="AZ83" s="72" t="s">
        <v>368</v>
      </c>
      <c r="BA83" s="49" t="s">
        <v>226</v>
      </c>
      <c r="BC83" s="37">
        <f t="shared" si="107"/>
        <v>0</v>
      </c>
      <c r="BD83" s="37">
        <f t="shared" si="108"/>
        <v>0</v>
      </c>
      <c r="BE83" s="37">
        <v>0</v>
      </c>
      <c r="BF83" s="37">
        <f>83</f>
        <v>83</v>
      </c>
      <c r="BH83" s="37">
        <f t="shared" si="109"/>
        <v>0</v>
      </c>
      <c r="BI83" s="37">
        <f t="shared" si="110"/>
        <v>0</v>
      </c>
      <c r="BJ83" s="37">
        <f t="shared" si="111"/>
        <v>0</v>
      </c>
      <c r="BK83" s="37"/>
      <c r="BL83" s="37">
        <v>43</v>
      </c>
      <c r="BW83" s="37">
        <v>21</v>
      </c>
      <c r="BX83" s="3" t="s">
        <v>404</v>
      </c>
    </row>
    <row r="84" spans="1:76" x14ac:dyDescent="0.25">
      <c r="A84" s="1" t="s">
        <v>119</v>
      </c>
      <c r="B84" s="2" t="s">
        <v>405</v>
      </c>
      <c r="C84" s="279" t="s">
        <v>406</v>
      </c>
      <c r="D84" s="280"/>
      <c r="E84" s="2" t="s">
        <v>249</v>
      </c>
      <c r="F84" s="37">
        <v>2.17638</v>
      </c>
      <c r="G84" s="78">
        <v>0</v>
      </c>
      <c r="H84" s="37">
        <f t="shared" si="90"/>
        <v>0</v>
      </c>
      <c r="I84" s="37">
        <f t="shared" si="91"/>
        <v>0</v>
      </c>
      <c r="J84" s="37">
        <f t="shared" si="92"/>
        <v>0</v>
      </c>
      <c r="K84" s="79" t="s">
        <v>223</v>
      </c>
      <c r="Z84" s="37">
        <f t="shared" si="93"/>
        <v>0</v>
      </c>
      <c r="AB84" s="37">
        <f t="shared" si="94"/>
        <v>0</v>
      </c>
      <c r="AC84" s="37">
        <f t="shared" si="95"/>
        <v>0</v>
      </c>
      <c r="AD84" s="37">
        <f t="shared" si="96"/>
        <v>0</v>
      </c>
      <c r="AE84" s="37">
        <f t="shared" si="97"/>
        <v>0</v>
      </c>
      <c r="AF84" s="37">
        <f t="shared" si="98"/>
        <v>0</v>
      </c>
      <c r="AG84" s="37">
        <f t="shared" si="99"/>
        <v>0</v>
      </c>
      <c r="AH84" s="37">
        <f t="shared" si="100"/>
        <v>0</v>
      </c>
      <c r="AI84" s="49" t="s">
        <v>89</v>
      </c>
      <c r="AJ84" s="37">
        <f t="shared" si="101"/>
        <v>0</v>
      </c>
      <c r="AK84" s="37">
        <f t="shared" si="102"/>
        <v>0</v>
      </c>
      <c r="AL84" s="37">
        <f t="shared" si="103"/>
        <v>0</v>
      </c>
      <c r="AN84" s="37">
        <v>21</v>
      </c>
      <c r="AO84" s="37">
        <f>G84*0.623756933</f>
        <v>0</v>
      </c>
      <c r="AP84" s="37">
        <f>G84*(1-0.623756933)</f>
        <v>0</v>
      </c>
      <c r="AQ84" s="72" t="s">
        <v>219</v>
      </c>
      <c r="AV84" s="37">
        <f t="shared" si="104"/>
        <v>0</v>
      </c>
      <c r="AW84" s="37">
        <f t="shared" si="105"/>
        <v>0</v>
      </c>
      <c r="AX84" s="37">
        <f t="shared" si="106"/>
        <v>0</v>
      </c>
      <c r="AY84" s="72" t="s">
        <v>396</v>
      </c>
      <c r="AZ84" s="72" t="s">
        <v>368</v>
      </c>
      <c r="BA84" s="49" t="s">
        <v>226</v>
      </c>
      <c r="BC84" s="37">
        <f t="shared" si="107"/>
        <v>0</v>
      </c>
      <c r="BD84" s="37">
        <f t="shared" si="108"/>
        <v>0</v>
      </c>
      <c r="BE84" s="37">
        <v>0</v>
      </c>
      <c r="BF84" s="37">
        <f>84</f>
        <v>84</v>
      </c>
      <c r="BH84" s="37">
        <f t="shared" si="109"/>
        <v>0</v>
      </c>
      <c r="BI84" s="37">
        <f t="shared" si="110"/>
        <v>0</v>
      </c>
      <c r="BJ84" s="37">
        <f t="shared" si="111"/>
        <v>0</v>
      </c>
      <c r="BK84" s="37"/>
      <c r="BL84" s="37">
        <v>43</v>
      </c>
      <c r="BW84" s="37">
        <v>21</v>
      </c>
      <c r="BX84" s="3" t="s">
        <v>406</v>
      </c>
    </row>
    <row r="85" spans="1:76" x14ac:dyDescent="0.25">
      <c r="A85" s="1" t="s">
        <v>407</v>
      </c>
      <c r="B85" s="2" t="s">
        <v>408</v>
      </c>
      <c r="C85" s="279" t="s">
        <v>409</v>
      </c>
      <c r="D85" s="280"/>
      <c r="E85" s="2" t="s">
        <v>249</v>
      </c>
      <c r="F85" s="37">
        <v>2.17638</v>
      </c>
      <c r="G85" s="78">
        <v>0</v>
      </c>
      <c r="H85" s="37">
        <f t="shared" si="90"/>
        <v>0</v>
      </c>
      <c r="I85" s="37">
        <f t="shared" si="91"/>
        <v>0</v>
      </c>
      <c r="J85" s="37">
        <f t="shared" si="92"/>
        <v>0</v>
      </c>
      <c r="K85" s="79" t="s">
        <v>223</v>
      </c>
      <c r="Z85" s="37">
        <f t="shared" si="93"/>
        <v>0</v>
      </c>
      <c r="AB85" s="37">
        <f t="shared" si="94"/>
        <v>0</v>
      </c>
      <c r="AC85" s="37">
        <f t="shared" si="95"/>
        <v>0</v>
      </c>
      <c r="AD85" s="37">
        <f t="shared" si="96"/>
        <v>0</v>
      </c>
      <c r="AE85" s="37">
        <f t="shared" si="97"/>
        <v>0</v>
      </c>
      <c r="AF85" s="37">
        <f t="shared" si="98"/>
        <v>0</v>
      </c>
      <c r="AG85" s="37">
        <f t="shared" si="99"/>
        <v>0</v>
      </c>
      <c r="AH85" s="37">
        <f t="shared" si="100"/>
        <v>0</v>
      </c>
      <c r="AI85" s="49" t="s">
        <v>89</v>
      </c>
      <c r="AJ85" s="37">
        <f t="shared" si="101"/>
        <v>0</v>
      </c>
      <c r="AK85" s="37">
        <f t="shared" si="102"/>
        <v>0</v>
      </c>
      <c r="AL85" s="37">
        <f t="shared" si="103"/>
        <v>0</v>
      </c>
      <c r="AN85" s="37">
        <v>21</v>
      </c>
      <c r="AO85" s="37">
        <f>G85*0</f>
        <v>0</v>
      </c>
      <c r="AP85" s="37">
        <f>G85*(1-0)</f>
        <v>0</v>
      </c>
      <c r="AQ85" s="72" t="s">
        <v>219</v>
      </c>
      <c r="AV85" s="37">
        <f t="shared" si="104"/>
        <v>0</v>
      </c>
      <c r="AW85" s="37">
        <f t="shared" si="105"/>
        <v>0</v>
      </c>
      <c r="AX85" s="37">
        <f t="shared" si="106"/>
        <v>0</v>
      </c>
      <c r="AY85" s="72" t="s">
        <v>396</v>
      </c>
      <c r="AZ85" s="72" t="s">
        <v>368</v>
      </c>
      <c r="BA85" s="49" t="s">
        <v>226</v>
      </c>
      <c r="BC85" s="37">
        <f t="shared" si="107"/>
        <v>0</v>
      </c>
      <c r="BD85" s="37">
        <f t="shared" si="108"/>
        <v>0</v>
      </c>
      <c r="BE85" s="37">
        <v>0</v>
      </c>
      <c r="BF85" s="37">
        <f>85</f>
        <v>85</v>
      </c>
      <c r="BH85" s="37">
        <f t="shared" si="109"/>
        <v>0</v>
      </c>
      <c r="BI85" s="37">
        <f t="shared" si="110"/>
        <v>0</v>
      </c>
      <c r="BJ85" s="37">
        <f t="shared" si="111"/>
        <v>0</v>
      </c>
      <c r="BK85" s="37"/>
      <c r="BL85" s="37">
        <v>43</v>
      </c>
      <c r="BW85" s="37">
        <v>21</v>
      </c>
      <c r="BX85" s="3" t="s">
        <v>409</v>
      </c>
    </row>
    <row r="86" spans="1:76" x14ac:dyDescent="0.25">
      <c r="A86" s="80" t="s">
        <v>4</v>
      </c>
      <c r="B86" s="81" t="s">
        <v>117</v>
      </c>
      <c r="C86" s="365" t="s">
        <v>118</v>
      </c>
      <c r="D86" s="366"/>
      <c r="E86" s="82" t="s">
        <v>81</v>
      </c>
      <c r="F86" s="82" t="s">
        <v>81</v>
      </c>
      <c r="G86" s="83" t="s">
        <v>81</v>
      </c>
      <c r="H86" s="43">
        <f>SUM(H87:H92)</f>
        <v>0</v>
      </c>
      <c r="I86" s="43">
        <f>SUM(I87:I92)</f>
        <v>0</v>
      </c>
      <c r="J86" s="43">
        <f>SUM(J87:J92)</f>
        <v>0</v>
      </c>
      <c r="K86" s="84" t="s">
        <v>4</v>
      </c>
      <c r="AI86" s="49" t="s">
        <v>89</v>
      </c>
      <c r="AS86" s="43">
        <f>SUM(AJ87:AJ92)</f>
        <v>0</v>
      </c>
      <c r="AT86" s="43">
        <f>SUM(AK87:AK92)</f>
        <v>0</v>
      </c>
      <c r="AU86" s="43">
        <f>SUM(AL87:AL92)</f>
        <v>0</v>
      </c>
    </row>
    <row r="87" spans="1:76" x14ac:dyDescent="0.25">
      <c r="A87" s="1" t="s">
        <v>121</v>
      </c>
      <c r="B87" s="2" t="s">
        <v>410</v>
      </c>
      <c r="C87" s="279" t="s">
        <v>411</v>
      </c>
      <c r="D87" s="280"/>
      <c r="E87" s="2" t="s">
        <v>249</v>
      </c>
      <c r="F87" s="37">
        <v>91.755499999999998</v>
      </c>
      <c r="G87" s="78">
        <v>0</v>
      </c>
      <c r="H87" s="37">
        <f t="shared" ref="H87:H92" si="112">F87*AO87</f>
        <v>0</v>
      </c>
      <c r="I87" s="37">
        <f t="shared" ref="I87:I92" si="113">F87*AP87</f>
        <v>0</v>
      </c>
      <c r="J87" s="37">
        <f t="shared" ref="J87:J92" si="114">F87*G87</f>
        <v>0</v>
      </c>
      <c r="K87" s="79" t="s">
        <v>223</v>
      </c>
      <c r="Z87" s="37">
        <f t="shared" ref="Z87:Z92" si="115">IF(AQ87="5",BJ87,0)</f>
        <v>0</v>
      </c>
      <c r="AB87" s="37">
        <f t="shared" ref="AB87:AB92" si="116">IF(AQ87="1",BH87,0)</f>
        <v>0</v>
      </c>
      <c r="AC87" s="37">
        <f t="shared" ref="AC87:AC92" si="117">IF(AQ87="1",BI87,0)</f>
        <v>0</v>
      </c>
      <c r="AD87" s="37">
        <f t="shared" ref="AD87:AD92" si="118">IF(AQ87="7",BH87,0)</f>
        <v>0</v>
      </c>
      <c r="AE87" s="37">
        <f t="shared" ref="AE87:AE92" si="119">IF(AQ87="7",BI87,0)</f>
        <v>0</v>
      </c>
      <c r="AF87" s="37">
        <f t="shared" ref="AF87:AF92" si="120">IF(AQ87="2",BH87,0)</f>
        <v>0</v>
      </c>
      <c r="AG87" s="37">
        <f t="shared" ref="AG87:AG92" si="121">IF(AQ87="2",BI87,0)</f>
        <v>0</v>
      </c>
      <c r="AH87" s="37">
        <f t="shared" ref="AH87:AH92" si="122">IF(AQ87="0",BJ87,0)</f>
        <v>0</v>
      </c>
      <c r="AI87" s="49" t="s">
        <v>89</v>
      </c>
      <c r="AJ87" s="37">
        <f t="shared" ref="AJ87:AJ92" si="123">IF(AN87=0,J87,0)</f>
        <v>0</v>
      </c>
      <c r="AK87" s="37">
        <f t="shared" ref="AK87:AK92" si="124">IF(AN87=12,J87,0)</f>
        <v>0</v>
      </c>
      <c r="AL87" s="37">
        <f t="shared" ref="AL87:AL92" si="125">IF(AN87=21,J87,0)</f>
        <v>0</v>
      </c>
      <c r="AN87" s="37">
        <v>21</v>
      </c>
      <c r="AO87" s="37">
        <f>G87*0.588038731</f>
        <v>0</v>
      </c>
      <c r="AP87" s="37">
        <f>G87*(1-0.588038731)</f>
        <v>0</v>
      </c>
      <c r="AQ87" s="72" t="s">
        <v>219</v>
      </c>
      <c r="AV87" s="37">
        <f t="shared" ref="AV87:AV92" si="126">AW87+AX87</f>
        <v>0</v>
      </c>
      <c r="AW87" s="37">
        <f t="shared" ref="AW87:AW92" si="127">F87*AO87</f>
        <v>0</v>
      </c>
      <c r="AX87" s="37">
        <f t="shared" ref="AX87:AX92" si="128">F87*AP87</f>
        <v>0</v>
      </c>
      <c r="AY87" s="72" t="s">
        <v>412</v>
      </c>
      <c r="AZ87" s="72" t="s">
        <v>413</v>
      </c>
      <c r="BA87" s="49" t="s">
        <v>226</v>
      </c>
      <c r="BC87" s="37">
        <f t="shared" ref="BC87:BC92" si="129">AW87+AX87</f>
        <v>0</v>
      </c>
      <c r="BD87" s="37">
        <f t="shared" ref="BD87:BD92" si="130">G87/(100-BE87)*100</f>
        <v>0</v>
      </c>
      <c r="BE87" s="37">
        <v>0</v>
      </c>
      <c r="BF87" s="37">
        <f>87</f>
        <v>87</v>
      </c>
      <c r="BH87" s="37">
        <f t="shared" ref="BH87:BH92" si="131">F87*AO87</f>
        <v>0</v>
      </c>
      <c r="BI87" s="37">
        <f t="shared" ref="BI87:BI92" si="132">F87*AP87</f>
        <v>0</v>
      </c>
      <c r="BJ87" s="37">
        <f t="shared" ref="BJ87:BJ92" si="133">F87*G87</f>
        <v>0</v>
      </c>
      <c r="BK87" s="37"/>
      <c r="BL87" s="37">
        <v>56</v>
      </c>
      <c r="BW87" s="37">
        <v>21</v>
      </c>
      <c r="BX87" s="3" t="s">
        <v>411</v>
      </c>
    </row>
    <row r="88" spans="1:76" x14ac:dyDescent="0.25">
      <c r="A88" s="1" t="s">
        <v>123</v>
      </c>
      <c r="B88" s="2" t="s">
        <v>414</v>
      </c>
      <c r="C88" s="279" t="s">
        <v>415</v>
      </c>
      <c r="D88" s="280"/>
      <c r="E88" s="2" t="s">
        <v>249</v>
      </c>
      <c r="F88" s="37">
        <v>91.755499999999998</v>
      </c>
      <c r="G88" s="78">
        <v>0</v>
      </c>
      <c r="H88" s="37">
        <f t="shared" si="112"/>
        <v>0</v>
      </c>
      <c r="I88" s="37">
        <f t="shared" si="113"/>
        <v>0</v>
      </c>
      <c r="J88" s="37">
        <f t="shared" si="114"/>
        <v>0</v>
      </c>
      <c r="K88" s="79" t="s">
        <v>223</v>
      </c>
      <c r="Z88" s="37">
        <f t="shared" si="115"/>
        <v>0</v>
      </c>
      <c r="AB88" s="37">
        <f t="shared" si="116"/>
        <v>0</v>
      </c>
      <c r="AC88" s="37">
        <f t="shared" si="117"/>
        <v>0</v>
      </c>
      <c r="AD88" s="37">
        <f t="shared" si="118"/>
        <v>0</v>
      </c>
      <c r="AE88" s="37">
        <f t="shared" si="119"/>
        <v>0</v>
      </c>
      <c r="AF88" s="37">
        <f t="shared" si="120"/>
        <v>0</v>
      </c>
      <c r="AG88" s="37">
        <f t="shared" si="121"/>
        <v>0</v>
      </c>
      <c r="AH88" s="37">
        <f t="shared" si="122"/>
        <v>0</v>
      </c>
      <c r="AI88" s="49" t="s">
        <v>89</v>
      </c>
      <c r="AJ88" s="37">
        <f t="shared" si="123"/>
        <v>0</v>
      </c>
      <c r="AK88" s="37">
        <f t="shared" si="124"/>
        <v>0</v>
      </c>
      <c r="AL88" s="37">
        <f t="shared" si="125"/>
        <v>0</v>
      </c>
      <c r="AN88" s="37">
        <v>21</v>
      </c>
      <c r="AO88" s="37">
        <f>G88*0.678511402</f>
        <v>0</v>
      </c>
      <c r="AP88" s="37">
        <f>G88*(1-0.678511402)</f>
        <v>0</v>
      </c>
      <c r="AQ88" s="72" t="s">
        <v>219</v>
      </c>
      <c r="AV88" s="37">
        <f t="shared" si="126"/>
        <v>0</v>
      </c>
      <c r="AW88" s="37">
        <f t="shared" si="127"/>
        <v>0</v>
      </c>
      <c r="AX88" s="37">
        <f t="shared" si="128"/>
        <v>0</v>
      </c>
      <c r="AY88" s="72" t="s">
        <v>412</v>
      </c>
      <c r="AZ88" s="72" t="s">
        <v>413</v>
      </c>
      <c r="BA88" s="49" t="s">
        <v>226</v>
      </c>
      <c r="BC88" s="37">
        <f t="shared" si="129"/>
        <v>0</v>
      </c>
      <c r="BD88" s="37">
        <f t="shared" si="130"/>
        <v>0</v>
      </c>
      <c r="BE88" s="37">
        <v>0</v>
      </c>
      <c r="BF88" s="37">
        <f>88</f>
        <v>88</v>
      </c>
      <c r="BH88" s="37">
        <f t="shared" si="131"/>
        <v>0</v>
      </c>
      <c r="BI88" s="37">
        <f t="shared" si="132"/>
        <v>0</v>
      </c>
      <c r="BJ88" s="37">
        <f t="shared" si="133"/>
        <v>0</v>
      </c>
      <c r="BK88" s="37"/>
      <c r="BL88" s="37">
        <v>56</v>
      </c>
      <c r="BW88" s="37">
        <v>21</v>
      </c>
      <c r="BX88" s="3" t="s">
        <v>415</v>
      </c>
    </row>
    <row r="89" spans="1:76" x14ac:dyDescent="0.25">
      <c r="A89" s="1" t="s">
        <v>125</v>
      </c>
      <c r="B89" s="2" t="s">
        <v>416</v>
      </c>
      <c r="C89" s="279" t="s">
        <v>417</v>
      </c>
      <c r="D89" s="280"/>
      <c r="E89" s="2" t="s">
        <v>249</v>
      </c>
      <c r="F89" s="37">
        <v>39.448</v>
      </c>
      <c r="G89" s="78">
        <v>0</v>
      </c>
      <c r="H89" s="37">
        <f t="shared" si="112"/>
        <v>0</v>
      </c>
      <c r="I89" s="37">
        <f t="shared" si="113"/>
        <v>0</v>
      </c>
      <c r="J89" s="37">
        <f t="shared" si="114"/>
        <v>0</v>
      </c>
      <c r="K89" s="79" t="s">
        <v>223</v>
      </c>
      <c r="Z89" s="37">
        <f t="shared" si="115"/>
        <v>0</v>
      </c>
      <c r="AB89" s="37">
        <f t="shared" si="116"/>
        <v>0</v>
      </c>
      <c r="AC89" s="37">
        <f t="shared" si="117"/>
        <v>0</v>
      </c>
      <c r="AD89" s="37">
        <f t="shared" si="118"/>
        <v>0</v>
      </c>
      <c r="AE89" s="37">
        <f t="shared" si="119"/>
        <v>0</v>
      </c>
      <c r="AF89" s="37">
        <f t="shared" si="120"/>
        <v>0</v>
      </c>
      <c r="AG89" s="37">
        <f t="shared" si="121"/>
        <v>0</v>
      </c>
      <c r="AH89" s="37">
        <f t="shared" si="122"/>
        <v>0</v>
      </c>
      <c r="AI89" s="49" t="s">
        <v>89</v>
      </c>
      <c r="AJ89" s="37">
        <f t="shared" si="123"/>
        <v>0</v>
      </c>
      <c r="AK89" s="37">
        <f t="shared" si="124"/>
        <v>0</v>
      </c>
      <c r="AL89" s="37">
        <f t="shared" si="125"/>
        <v>0</v>
      </c>
      <c r="AN89" s="37">
        <v>21</v>
      </c>
      <c r="AO89" s="37">
        <f>G89*0.821869678</f>
        <v>0</v>
      </c>
      <c r="AP89" s="37">
        <f>G89*(1-0.821869678)</f>
        <v>0</v>
      </c>
      <c r="AQ89" s="72" t="s">
        <v>219</v>
      </c>
      <c r="AV89" s="37">
        <f t="shared" si="126"/>
        <v>0</v>
      </c>
      <c r="AW89" s="37">
        <f t="shared" si="127"/>
        <v>0</v>
      </c>
      <c r="AX89" s="37">
        <f t="shared" si="128"/>
        <v>0</v>
      </c>
      <c r="AY89" s="72" t="s">
        <v>412</v>
      </c>
      <c r="AZ89" s="72" t="s">
        <v>413</v>
      </c>
      <c r="BA89" s="49" t="s">
        <v>226</v>
      </c>
      <c r="BC89" s="37">
        <f t="shared" si="129"/>
        <v>0</v>
      </c>
      <c r="BD89" s="37">
        <f t="shared" si="130"/>
        <v>0</v>
      </c>
      <c r="BE89" s="37">
        <v>0</v>
      </c>
      <c r="BF89" s="37">
        <f>89</f>
        <v>89</v>
      </c>
      <c r="BH89" s="37">
        <f t="shared" si="131"/>
        <v>0</v>
      </c>
      <c r="BI89" s="37">
        <f t="shared" si="132"/>
        <v>0</v>
      </c>
      <c r="BJ89" s="37">
        <f t="shared" si="133"/>
        <v>0</v>
      </c>
      <c r="BK89" s="37"/>
      <c r="BL89" s="37">
        <v>56</v>
      </c>
      <c r="BW89" s="37">
        <v>21</v>
      </c>
      <c r="BX89" s="3" t="s">
        <v>417</v>
      </c>
    </row>
    <row r="90" spans="1:76" x14ac:dyDescent="0.25">
      <c r="A90" s="1" t="s">
        <v>127</v>
      </c>
      <c r="B90" s="2" t="s">
        <v>418</v>
      </c>
      <c r="C90" s="279" t="s">
        <v>419</v>
      </c>
      <c r="D90" s="280"/>
      <c r="E90" s="2" t="s">
        <v>249</v>
      </c>
      <c r="F90" s="37">
        <v>52.307499999999997</v>
      </c>
      <c r="G90" s="78">
        <v>0</v>
      </c>
      <c r="H90" s="37">
        <f t="shared" si="112"/>
        <v>0</v>
      </c>
      <c r="I90" s="37">
        <f t="shared" si="113"/>
        <v>0</v>
      </c>
      <c r="J90" s="37">
        <f t="shared" si="114"/>
        <v>0</v>
      </c>
      <c r="K90" s="79" t="s">
        <v>223</v>
      </c>
      <c r="Z90" s="37">
        <f t="shared" si="115"/>
        <v>0</v>
      </c>
      <c r="AB90" s="37">
        <f t="shared" si="116"/>
        <v>0</v>
      </c>
      <c r="AC90" s="37">
        <f t="shared" si="117"/>
        <v>0</v>
      </c>
      <c r="AD90" s="37">
        <f t="shared" si="118"/>
        <v>0</v>
      </c>
      <c r="AE90" s="37">
        <f t="shared" si="119"/>
        <v>0</v>
      </c>
      <c r="AF90" s="37">
        <f t="shared" si="120"/>
        <v>0</v>
      </c>
      <c r="AG90" s="37">
        <f t="shared" si="121"/>
        <v>0</v>
      </c>
      <c r="AH90" s="37">
        <f t="shared" si="122"/>
        <v>0</v>
      </c>
      <c r="AI90" s="49" t="s">
        <v>89</v>
      </c>
      <c r="AJ90" s="37">
        <f t="shared" si="123"/>
        <v>0</v>
      </c>
      <c r="AK90" s="37">
        <f t="shared" si="124"/>
        <v>0</v>
      </c>
      <c r="AL90" s="37">
        <f t="shared" si="125"/>
        <v>0</v>
      </c>
      <c r="AN90" s="37">
        <v>21</v>
      </c>
      <c r="AO90" s="37">
        <f>G90*0.812075197</f>
        <v>0</v>
      </c>
      <c r="AP90" s="37">
        <f>G90*(1-0.812075197)</f>
        <v>0</v>
      </c>
      <c r="AQ90" s="72" t="s">
        <v>219</v>
      </c>
      <c r="AV90" s="37">
        <f t="shared" si="126"/>
        <v>0</v>
      </c>
      <c r="AW90" s="37">
        <f t="shared" si="127"/>
        <v>0</v>
      </c>
      <c r="AX90" s="37">
        <f t="shared" si="128"/>
        <v>0</v>
      </c>
      <c r="AY90" s="72" t="s">
        <v>412</v>
      </c>
      <c r="AZ90" s="72" t="s">
        <v>413</v>
      </c>
      <c r="BA90" s="49" t="s">
        <v>226</v>
      </c>
      <c r="BC90" s="37">
        <f t="shared" si="129"/>
        <v>0</v>
      </c>
      <c r="BD90" s="37">
        <f t="shared" si="130"/>
        <v>0</v>
      </c>
      <c r="BE90" s="37">
        <v>0</v>
      </c>
      <c r="BF90" s="37">
        <f>90</f>
        <v>90</v>
      </c>
      <c r="BH90" s="37">
        <f t="shared" si="131"/>
        <v>0</v>
      </c>
      <c r="BI90" s="37">
        <f t="shared" si="132"/>
        <v>0</v>
      </c>
      <c r="BJ90" s="37">
        <f t="shared" si="133"/>
        <v>0</v>
      </c>
      <c r="BK90" s="37"/>
      <c r="BL90" s="37">
        <v>56</v>
      </c>
      <c r="BW90" s="37">
        <v>21</v>
      </c>
      <c r="BX90" s="3" t="s">
        <v>419</v>
      </c>
    </row>
    <row r="91" spans="1:76" x14ac:dyDescent="0.25">
      <c r="A91" s="1" t="s">
        <v>420</v>
      </c>
      <c r="B91" s="2" t="s">
        <v>421</v>
      </c>
      <c r="C91" s="279" t="s">
        <v>422</v>
      </c>
      <c r="D91" s="280"/>
      <c r="E91" s="2" t="s">
        <v>249</v>
      </c>
      <c r="F91" s="37">
        <v>52.307499999999997</v>
      </c>
      <c r="G91" s="78">
        <v>0</v>
      </c>
      <c r="H91" s="37">
        <f t="shared" si="112"/>
        <v>0</v>
      </c>
      <c r="I91" s="37">
        <f t="shared" si="113"/>
        <v>0</v>
      </c>
      <c r="J91" s="37">
        <f t="shared" si="114"/>
        <v>0</v>
      </c>
      <c r="K91" s="79" t="s">
        <v>223</v>
      </c>
      <c r="Z91" s="37">
        <f t="shared" si="115"/>
        <v>0</v>
      </c>
      <c r="AB91" s="37">
        <f t="shared" si="116"/>
        <v>0</v>
      </c>
      <c r="AC91" s="37">
        <f t="shared" si="117"/>
        <v>0</v>
      </c>
      <c r="AD91" s="37">
        <f t="shared" si="118"/>
        <v>0</v>
      </c>
      <c r="AE91" s="37">
        <f t="shared" si="119"/>
        <v>0</v>
      </c>
      <c r="AF91" s="37">
        <f t="shared" si="120"/>
        <v>0</v>
      </c>
      <c r="AG91" s="37">
        <f t="shared" si="121"/>
        <v>0</v>
      </c>
      <c r="AH91" s="37">
        <f t="shared" si="122"/>
        <v>0</v>
      </c>
      <c r="AI91" s="49" t="s">
        <v>89</v>
      </c>
      <c r="AJ91" s="37">
        <f t="shared" si="123"/>
        <v>0</v>
      </c>
      <c r="AK91" s="37">
        <f t="shared" si="124"/>
        <v>0</v>
      </c>
      <c r="AL91" s="37">
        <f t="shared" si="125"/>
        <v>0</v>
      </c>
      <c r="AN91" s="37">
        <v>21</v>
      </c>
      <c r="AO91" s="37">
        <f>G91*0.876315484</f>
        <v>0</v>
      </c>
      <c r="AP91" s="37">
        <f>G91*(1-0.876315484)</f>
        <v>0</v>
      </c>
      <c r="AQ91" s="72" t="s">
        <v>219</v>
      </c>
      <c r="AV91" s="37">
        <f t="shared" si="126"/>
        <v>0</v>
      </c>
      <c r="AW91" s="37">
        <f t="shared" si="127"/>
        <v>0</v>
      </c>
      <c r="AX91" s="37">
        <f t="shared" si="128"/>
        <v>0</v>
      </c>
      <c r="AY91" s="72" t="s">
        <v>412</v>
      </c>
      <c r="AZ91" s="72" t="s">
        <v>413</v>
      </c>
      <c r="BA91" s="49" t="s">
        <v>226</v>
      </c>
      <c r="BC91" s="37">
        <f t="shared" si="129"/>
        <v>0</v>
      </c>
      <c r="BD91" s="37">
        <f t="shared" si="130"/>
        <v>0</v>
      </c>
      <c r="BE91" s="37">
        <v>0</v>
      </c>
      <c r="BF91" s="37">
        <f>91</f>
        <v>91</v>
      </c>
      <c r="BH91" s="37">
        <f t="shared" si="131"/>
        <v>0</v>
      </c>
      <c r="BI91" s="37">
        <f t="shared" si="132"/>
        <v>0</v>
      </c>
      <c r="BJ91" s="37">
        <f t="shared" si="133"/>
        <v>0</v>
      </c>
      <c r="BK91" s="37"/>
      <c r="BL91" s="37">
        <v>56</v>
      </c>
      <c r="BW91" s="37">
        <v>21</v>
      </c>
      <c r="BX91" s="3" t="s">
        <v>422</v>
      </c>
    </row>
    <row r="92" spans="1:76" x14ac:dyDescent="0.25">
      <c r="A92" s="1" t="s">
        <v>423</v>
      </c>
      <c r="B92" s="2" t="s">
        <v>418</v>
      </c>
      <c r="C92" s="279" t="s">
        <v>424</v>
      </c>
      <c r="D92" s="280"/>
      <c r="E92" s="2" t="s">
        <v>249</v>
      </c>
      <c r="F92" s="37">
        <v>2.1720000000000002</v>
      </c>
      <c r="G92" s="78">
        <v>0</v>
      </c>
      <c r="H92" s="37">
        <f t="shared" si="112"/>
        <v>0</v>
      </c>
      <c r="I92" s="37">
        <f t="shared" si="113"/>
        <v>0</v>
      </c>
      <c r="J92" s="37">
        <f t="shared" si="114"/>
        <v>0</v>
      </c>
      <c r="K92" s="79" t="s">
        <v>223</v>
      </c>
      <c r="Z92" s="37">
        <f t="shared" si="115"/>
        <v>0</v>
      </c>
      <c r="AB92" s="37">
        <f t="shared" si="116"/>
        <v>0</v>
      </c>
      <c r="AC92" s="37">
        <f t="shared" si="117"/>
        <v>0</v>
      </c>
      <c r="AD92" s="37">
        <f t="shared" si="118"/>
        <v>0</v>
      </c>
      <c r="AE92" s="37">
        <f t="shared" si="119"/>
        <v>0</v>
      </c>
      <c r="AF92" s="37">
        <f t="shared" si="120"/>
        <v>0</v>
      </c>
      <c r="AG92" s="37">
        <f t="shared" si="121"/>
        <v>0</v>
      </c>
      <c r="AH92" s="37">
        <f t="shared" si="122"/>
        <v>0</v>
      </c>
      <c r="AI92" s="49" t="s">
        <v>89</v>
      </c>
      <c r="AJ92" s="37">
        <f t="shared" si="123"/>
        <v>0</v>
      </c>
      <c r="AK92" s="37">
        <f t="shared" si="124"/>
        <v>0</v>
      </c>
      <c r="AL92" s="37">
        <f t="shared" si="125"/>
        <v>0</v>
      </c>
      <c r="AN92" s="37">
        <v>21</v>
      </c>
      <c r="AO92" s="37">
        <f>G92*0.81207136</f>
        <v>0</v>
      </c>
      <c r="AP92" s="37">
        <f>G92*(1-0.81207136)</f>
        <v>0</v>
      </c>
      <c r="AQ92" s="72" t="s">
        <v>219</v>
      </c>
      <c r="AV92" s="37">
        <f t="shared" si="126"/>
        <v>0</v>
      </c>
      <c r="AW92" s="37">
        <f t="shared" si="127"/>
        <v>0</v>
      </c>
      <c r="AX92" s="37">
        <f t="shared" si="128"/>
        <v>0</v>
      </c>
      <c r="AY92" s="72" t="s">
        <v>412</v>
      </c>
      <c r="AZ92" s="72" t="s">
        <v>413</v>
      </c>
      <c r="BA92" s="49" t="s">
        <v>226</v>
      </c>
      <c r="BC92" s="37">
        <f t="shared" si="129"/>
        <v>0</v>
      </c>
      <c r="BD92" s="37">
        <f t="shared" si="130"/>
        <v>0</v>
      </c>
      <c r="BE92" s="37">
        <v>0</v>
      </c>
      <c r="BF92" s="37">
        <f>92</f>
        <v>92</v>
      </c>
      <c r="BH92" s="37">
        <f t="shared" si="131"/>
        <v>0</v>
      </c>
      <c r="BI92" s="37">
        <f t="shared" si="132"/>
        <v>0</v>
      </c>
      <c r="BJ92" s="37">
        <f t="shared" si="133"/>
        <v>0</v>
      </c>
      <c r="BK92" s="37"/>
      <c r="BL92" s="37">
        <v>56</v>
      </c>
      <c r="BW92" s="37">
        <v>21</v>
      </c>
      <c r="BX92" s="3" t="s">
        <v>424</v>
      </c>
    </row>
    <row r="93" spans="1:76" x14ac:dyDescent="0.25">
      <c r="A93" s="80" t="s">
        <v>4</v>
      </c>
      <c r="B93" s="81" t="s">
        <v>119</v>
      </c>
      <c r="C93" s="365" t="s">
        <v>120</v>
      </c>
      <c r="D93" s="366"/>
      <c r="E93" s="82" t="s">
        <v>81</v>
      </c>
      <c r="F93" s="82" t="s">
        <v>81</v>
      </c>
      <c r="G93" s="83" t="s">
        <v>81</v>
      </c>
      <c r="H93" s="43">
        <f>SUM(H94:H101)</f>
        <v>0</v>
      </c>
      <c r="I93" s="43">
        <f>SUM(I94:I101)</f>
        <v>0</v>
      </c>
      <c r="J93" s="43">
        <f>SUM(J94:J101)</f>
        <v>0</v>
      </c>
      <c r="K93" s="84" t="s">
        <v>4</v>
      </c>
      <c r="AI93" s="49" t="s">
        <v>89</v>
      </c>
      <c r="AS93" s="43">
        <f>SUM(AJ94:AJ101)</f>
        <v>0</v>
      </c>
      <c r="AT93" s="43">
        <f>SUM(AK94:AK101)</f>
        <v>0</v>
      </c>
      <c r="AU93" s="43">
        <f>SUM(AL94:AL101)</f>
        <v>0</v>
      </c>
    </row>
    <row r="94" spans="1:76" x14ac:dyDescent="0.25">
      <c r="A94" s="1" t="s">
        <v>425</v>
      </c>
      <c r="B94" s="2" t="s">
        <v>426</v>
      </c>
      <c r="C94" s="279" t="s">
        <v>427</v>
      </c>
      <c r="D94" s="280"/>
      <c r="E94" s="2" t="s">
        <v>249</v>
      </c>
      <c r="F94" s="37">
        <v>39.448</v>
      </c>
      <c r="G94" s="78">
        <v>0</v>
      </c>
      <c r="H94" s="37">
        <f t="shared" ref="H94:H101" si="134">F94*AO94</f>
        <v>0</v>
      </c>
      <c r="I94" s="37">
        <f t="shared" ref="I94:I101" si="135">F94*AP94</f>
        <v>0</v>
      </c>
      <c r="J94" s="37">
        <f t="shared" ref="J94:J101" si="136">F94*G94</f>
        <v>0</v>
      </c>
      <c r="K94" s="79" t="s">
        <v>223</v>
      </c>
      <c r="Z94" s="37">
        <f t="shared" ref="Z94:Z101" si="137">IF(AQ94="5",BJ94,0)</f>
        <v>0</v>
      </c>
      <c r="AB94" s="37">
        <f t="shared" ref="AB94:AB101" si="138">IF(AQ94="1",BH94,0)</f>
        <v>0</v>
      </c>
      <c r="AC94" s="37">
        <f t="shared" ref="AC94:AC101" si="139">IF(AQ94="1",BI94,0)</f>
        <v>0</v>
      </c>
      <c r="AD94" s="37">
        <f t="shared" ref="AD94:AD101" si="140">IF(AQ94="7",BH94,0)</f>
        <v>0</v>
      </c>
      <c r="AE94" s="37">
        <f t="shared" ref="AE94:AE101" si="141">IF(AQ94="7",BI94,0)</f>
        <v>0</v>
      </c>
      <c r="AF94" s="37">
        <f t="shared" ref="AF94:AF101" si="142">IF(AQ94="2",BH94,0)</f>
        <v>0</v>
      </c>
      <c r="AG94" s="37">
        <f t="shared" ref="AG94:AG101" si="143">IF(AQ94="2",BI94,0)</f>
        <v>0</v>
      </c>
      <c r="AH94" s="37">
        <f t="shared" ref="AH94:AH101" si="144">IF(AQ94="0",BJ94,0)</f>
        <v>0</v>
      </c>
      <c r="AI94" s="49" t="s">
        <v>89</v>
      </c>
      <c r="AJ94" s="37">
        <f t="shared" ref="AJ94:AJ101" si="145">IF(AN94=0,J94,0)</f>
        <v>0</v>
      </c>
      <c r="AK94" s="37">
        <f t="shared" ref="AK94:AK101" si="146">IF(AN94=12,J94,0)</f>
        <v>0</v>
      </c>
      <c r="AL94" s="37">
        <f t="shared" ref="AL94:AL101" si="147">IF(AN94=21,J94,0)</f>
        <v>0</v>
      </c>
      <c r="AN94" s="37">
        <v>21</v>
      </c>
      <c r="AO94" s="37">
        <f>G94*0.170541429</f>
        <v>0</v>
      </c>
      <c r="AP94" s="37">
        <f>G94*(1-0.170541429)</f>
        <v>0</v>
      </c>
      <c r="AQ94" s="72" t="s">
        <v>219</v>
      </c>
      <c r="AV94" s="37">
        <f t="shared" ref="AV94:AV101" si="148">AW94+AX94</f>
        <v>0</v>
      </c>
      <c r="AW94" s="37">
        <f t="shared" ref="AW94:AW101" si="149">F94*AO94</f>
        <v>0</v>
      </c>
      <c r="AX94" s="37">
        <f t="shared" ref="AX94:AX101" si="150">F94*AP94</f>
        <v>0</v>
      </c>
      <c r="AY94" s="72" t="s">
        <v>428</v>
      </c>
      <c r="AZ94" s="72" t="s">
        <v>413</v>
      </c>
      <c r="BA94" s="49" t="s">
        <v>226</v>
      </c>
      <c r="BC94" s="37">
        <f t="shared" ref="BC94:BC101" si="151">AW94+AX94</f>
        <v>0</v>
      </c>
      <c r="BD94" s="37">
        <f t="shared" ref="BD94:BD101" si="152">G94/(100-BE94)*100</f>
        <v>0</v>
      </c>
      <c r="BE94" s="37">
        <v>0</v>
      </c>
      <c r="BF94" s="37">
        <f>94</f>
        <v>94</v>
      </c>
      <c r="BH94" s="37">
        <f t="shared" ref="BH94:BH101" si="153">F94*AO94</f>
        <v>0</v>
      </c>
      <c r="BI94" s="37">
        <f t="shared" ref="BI94:BI101" si="154">F94*AP94</f>
        <v>0</v>
      </c>
      <c r="BJ94" s="37">
        <f t="shared" ref="BJ94:BJ101" si="155">F94*G94</f>
        <v>0</v>
      </c>
      <c r="BK94" s="37"/>
      <c r="BL94" s="37">
        <v>59</v>
      </c>
      <c r="BW94" s="37">
        <v>21</v>
      </c>
      <c r="BX94" s="3" t="s">
        <v>427</v>
      </c>
    </row>
    <row r="95" spans="1:76" x14ac:dyDescent="0.25">
      <c r="A95" s="1" t="s">
        <v>429</v>
      </c>
      <c r="B95" s="2" t="s">
        <v>430</v>
      </c>
      <c r="C95" s="279" t="s">
        <v>431</v>
      </c>
      <c r="D95" s="280"/>
      <c r="E95" s="2" t="s">
        <v>249</v>
      </c>
      <c r="F95" s="37">
        <v>45.365200000000002</v>
      </c>
      <c r="G95" s="78">
        <v>0</v>
      </c>
      <c r="H95" s="37">
        <f t="shared" si="134"/>
        <v>0</v>
      </c>
      <c r="I95" s="37">
        <f t="shared" si="135"/>
        <v>0</v>
      </c>
      <c r="J95" s="37">
        <f t="shared" si="136"/>
        <v>0</v>
      </c>
      <c r="K95" s="79" t="s">
        <v>223</v>
      </c>
      <c r="Z95" s="37">
        <f t="shared" si="137"/>
        <v>0</v>
      </c>
      <c r="AB95" s="37">
        <f t="shared" si="138"/>
        <v>0</v>
      </c>
      <c r="AC95" s="37">
        <f t="shared" si="139"/>
        <v>0</v>
      </c>
      <c r="AD95" s="37">
        <f t="shared" si="140"/>
        <v>0</v>
      </c>
      <c r="AE95" s="37">
        <f t="shared" si="141"/>
        <v>0</v>
      </c>
      <c r="AF95" s="37">
        <f t="shared" si="142"/>
        <v>0</v>
      </c>
      <c r="AG95" s="37">
        <f t="shared" si="143"/>
        <v>0</v>
      </c>
      <c r="AH95" s="37">
        <f t="shared" si="144"/>
        <v>0</v>
      </c>
      <c r="AI95" s="49" t="s">
        <v>89</v>
      </c>
      <c r="AJ95" s="37">
        <f t="shared" si="145"/>
        <v>0</v>
      </c>
      <c r="AK95" s="37">
        <f t="shared" si="146"/>
        <v>0</v>
      </c>
      <c r="AL95" s="37">
        <f t="shared" si="147"/>
        <v>0</v>
      </c>
      <c r="AN95" s="37">
        <v>21</v>
      </c>
      <c r="AO95" s="37">
        <f>G95*1</f>
        <v>0</v>
      </c>
      <c r="AP95" s="37">
        <f>G95*(1-1)</f>
        <v>0</v>
      </c>
      <c r="AQ95" s="72" t="s">
        <v>219</v>
      </c>
      <c r="AV95" s="37">
        <f t="shared" si="148"/>
        <v>0</v>
      </c>
      <c r="AW95" s="37">
        <f t="shared" si="149"/>
        <v>0</v>
      </c>
      <c r="AX95" s="37">
        <f t="shared" si="150"/>
        <v>0</v>
      </c>
      <c r="AY95" s="72" t="s">
        <v>428</v>
      </c>
      <c r="AZ95" s="72" t="s">
        <v>413</v>
      </c>
      <c r="BA95" s="49" t="s">
        <v>226</v>
      </c>
      <c r="BC95" s="37">
        <f t="shared" si="151"/>
        <v>0</v>
      </c>
      <c r="BD95" s="37">
        <f t="shared" si="152"/>
        <v>0</v>
      </c>
      <c r="BE95" s="37">
        <v>0</v>
      </c>
      <c r="BF95" s="37">
        <f>95</f>
        <v>95</v>
      </c>
      <c r="BH95" s="37">
        <f t="shared" si="153"/>
        <v>0</v>
      </c>
      <c r="BI95" s="37">
        <f t="shared" si="154"/>
        <v>0</v>
      </c>
      <c r="BJ95" s="37">
        <f t="shared" si="155"/>
        <v>0</v>
      </c>
      <c r="BK95" s="37"/>
      <c r="BL95" s="37">
        <v>59</v>
      </c>
      <c r="BW95" s="37">
        <v>21</v>
      </c>
      <c r="BX95" s="3" t="s">
        <v>431</v>
      </c>
    </row>
    <row r="96" spans="1:76" x14ac:dyDescent="0.25">
      <c r="A96" s="1" t="s">
        <v>432</v>
      </c>
      <c r="B96" s="2" t="s">
        <v>433</v>
      </c>
      <c r="C96" s="279" t="s">
        <v>434</v>
      </c>
      <c r="D96" s="280"/>
      <c r="E96" s="2" t="s">
        <v>249</v>
      </c>
      <c r="F96" s="37">
        <v>39.448</v>
      </c>
      <c r="G96" s="78">
        <v>0</v>
      </c>
      <c r="H96" s="37">
        <f t="shared" si="134"/>
        <v>0</v>
      </c>
      <c r="I96" s="37">
        <f t="shared" si="135"/>
        <v>0</v>
      </c>
      <c r="J96" s="37">
        <f t="shared" si="136"/>
        <v>0</v>
      </c>
      <c r="K96" s="79" t="s">
        <v>223</v>
      </c>
      <c r="Z96" s="37">
        <f t="shared" si="137"/>
        <v>0</v>
      </c>
      <c r="AB96" s="37">
        <f t="shared" si="138"/>
        <v>0</v>
      </c>
      <c r="AC96" s="37">
        <f t="shared" si="139"/>
        <v>0</v>
      </c>
      <c r="AD96" s="37">
        <f t="shared" si="140"/>
        <v>0</v>
      </c>
      <c r="AE96" s="37">
        <f t="shared" si="141"/>
        <v>0</v>
      </c>
      <c r="AF96" s="37">
        <f t="shared" si="142"/>
        <v>0</v>
      </c>
      <c r="AG96" s="37">
        <f t="shared" si="143"/>
        <v>0</v>
      </c>
      <c r="AH96" s="37">
        <f t="shared" si="144"/>
        <v>0</v>
      </c>
      <c r="AI96" s="49" t="s">
        <v>89</v>
      </c>
      <c r="AJ96" s="37">
        <f t="shared" si="145"/>
        <v>0</v>
      </c>
      <c r="AK96" s="37">
        <f t="shared" si="146"/>
        <v>0</v>
      </c>
      <c r="AL96" s="37">
        <f t="shared" si="147"/>
        <v>0</v>
      </c>
      <c r="AN96" s="37">
        <v>21</v>
      </c>
      <c r="AO96" s="37">
        <f>G96*0.38902131</f>
        <v>0</v>
      </c>
      <c r="AP96" s="37">
        <f>G96*(1-0.38902131)</f>
        <v>0</v>
      </c>
      <c r="AQ96" s="72" t="s">
        <v>219</v>
      </c>
      <c r="AV96" s="37">
        <f t="shared" si="148"/>
        <v>0</v>
      </c>
      <c r="AW96" s="37">
        <f t="shared" si="149"/>
        <v>0</v>
      </c>
      <c r="AX96" s="37">
        <f t="shared" si="150"/>
        <v>0</v>
      </c>
      <c r="AY96" s="72" t="s">
        <v>428</v>
      </c>
      <c r="AZ96" s="72" t="s">
        <v>413</v>
      </c>
      <c r="BA96" s="49" t="s">
        <v>226</v>
      </c>
      <c r="BC96" s="37">
        <f t="shared" si="151"/>
        <v>0</v>
      </c>
      <c r="BD96" s="37">
        <f t="shared" si="152"/>
        <v>0</v>
      </c>
      <c r="BE96" s="37">
        <v>0</v>
      </c>
      <c r="BF96" s="37">
        <f>96</f>
        <v>96</v>
      </c>
      <c r="BH96" s="37">
        <f t="shared" si="153"/>
        <v>0</v>
      </c>
      <c r="BI96" s="37">
        <f t="shared" si="154"/>
        <v>0</v>
      </c>
      <c r="BJ96" s="37">
        <f t="shared" si="155"/>
        <v>0</v>
      </c>
      <c r="BK96" s="37"/>
      <c r="BL96" s="37">
        <v>59</v>
      </c>
      <c r="BW96" s="37">
        <v>21</v>
      </c>
      <c r="BX96" s="3" t="s">
        <v>434</v>
      </c>
    </row>
    <row r="97" spans="1:76" x14ac:dyDescent="0.25">
      <c r="A97" s="1" t="s">
        <v>435</v>
      </c>
      <c r="B97" s="2" t="s">
        <v>436</v>
      </c>
      <c r="C97" s="279" t="s">
        <v>437</v>
      </c>
      <c r="D97" s="280"/>
      <c r="E97" s="2" t="s">
        <v>333</v>
      </c>
      <c r="F97" s="37">
        <v>31.23</v>
      </c>
      <c r="G97" s="78">
        <v>0</v>
      </c>
      <c r="H97" s="37">
        <f t="shared" si="134"/>
        <v>0</v>
      </c>
      <c r="I97" s="37">
        <f t="shared" si="135"/>
        <v>0</v>
      </c>
      <c r="J97" s="37">
        <f t="shared" si="136"/>
        <v>0</v>
      </c>
      <c r="K97" s="79" t="s">
        <v>223</v>
      </c>
      <c r="Z97" s="37">
        <f t="shared" si="137"/>
        <v>0</v>
      </c>
      <c r="AB97" s="37">
        <f t="shared" si="138"/>
        <v>0</v>
      </c>
      <c r="AC97" s="37">
        <f t="shared" si="139"/>
        <v>0</v>
      </c>
      <c r="AD97" s="37">
        <f t="shared" si="140"/>
        <v>0</v>
      </c>
      <c r="AE97" s="37">
        <f t="shared" si="141"/>
        <v>0</v>
      </c>
      <c r="AF97" s="37">
        <f t="shared" si="142"/>
        <v>0</v>
      </c>
      <c r="AG97" s="37">
        <f t="shared" si="143"/>
        <v>0</v>
      </c>
      <c r="AH97" s="37">
        <f t="shared" si="144"/>
        <v>0</v>
      </c>
      <c r="AI97" s="49" t="s">
        <v>89</v>
      </c>
      <c r="AJ97" s="37">
        <f t="shared" si="145"/>
        <v>0</v>
      </c>
      <c r="AK97" s="37">
        <f t="shared" si="146"/>
        <v>0</v>
      </c>
      <c r="AL97" s="37">
        <f t="shared" si="147"/>
        <v>0</v>
      </c>
      <c r="AN97" s="37">
        <v>21</v>
      </c>
      <c r="AO97" s="37">
        <f>G97*0.053195798</f>
        <v>0</v>
      </c>
      <c r="AP97" s="37">
        <f>G97*(1-0.053195798)</f>
        <v>0</v>
      </c>
      <c r="AQ97" s="72" t="s">
        <v>219</v>
      </c>
      <c r="AV97" s="37">
        <f t="shared" si="148"/>
        <v>0</v>
      </c>
      <c r="AW97" s="37">
        <f t="shared" si="149"/>
        <v>0</v>
      </c>
      <c r="AX97" s="37">
        <f t="shared" si="150"/>
        <v>0</v>
      </c>
      <c r="AY97" s="72" t="s">
        <v>428</v>
      </c>
      <c r="AZ97" s="72" t="s">
        <v>413</v>
      </c>
      <c r="BA97" s="49" t="s">
        <v>226</v>
      </c>
      <c r="BC97" s="37">
        <f t="shared" si="151"/>
        <v>0</v>
      </c>
      <c r="BD97" s="37">
        <f t="shared" si="152"/>
        <v>0</v>
      </c>
      <c r="BE97" s="37">
        <v>0</v>
      </c>
      <c r="BF97" s="37">
        <f>97</f>
        <v>97</v>
      </c>
      <c r="BH97" s="37">
        <f t="shared" si="153"/>
        <v>0</v>
      </c>
      <c r="BI97" s="37">
        <f t="shared" si="154"/>
        <v>0</v>
      </c>
      <c r="BJ97" s="37">
        <f t="shared" si="155"/>
        <v>0</v>
      </c>
      <c r="BK97" s="37"/>
      <c r="BL97" s="37">
        <v>59</v>
      </c>
      <c r="BW97" s="37">
        <v>21</v>
      </c>
      <c r="BX97" s="3" t="s">
        <v>437</v>
      </c>
    </row>
    <row r="98" spans="1:76" ht="25.5" x14ac:dyDescent="0.25">
      <c r="A98" s="1" t="s">
        <v>438</v>
      </c>
      <c r="B98" s="2" t="s">
        <v>439</v>
      </c>
      <c r="C98" s="279" t="s">
        <v>440</v>
      </c>
      <c r="D98" s="280"/>
      <c r="E98" s="2" t="s">
        <v>249</v>
      </c>
      <c r="F98" s="37">
        <v>52.307499999999997</v>
      </c>
      <c r="G98" s="78">
        <v>0</v>
      </c>
      <c r="H98" s="37">
        <f t="shared" si="134"/>
        <v>0</v>
      </c>
      <c r="I98" s="37">
        <f t="shared" si="135"/>
        <v>0</v>
      </c>
      <c r="J98" s="37">
        <f t="shared" si="136"/>
        <v>0</v>
      </c>
      <c r="K98" s="79" t="s">
        <v>223</v>
      </c>
      <c r="Z98" s="37">
        <f t="shared" si="137"/>
        <v>0</v>
      </c>
      <c r="AB98" s="37">
        <f t="shared" si="138"/>
        <v>0</v>
      </c>
      <c r="AC98" s="37">
        <f t="shared" si="139"/>
        <v>0</v>
      </c>
      <c r="AD98" s="37">
        <f t="shared" si="140"/>
        <v>0</v>
      </c>
      <c r="AE98" s="37">
        <f t="shared" si="141"/>
        <v>0</v>
      </c>
      <c r="AF98" s="37">
        <f t="shared" si="142"/>
        <v>0</v>
      </c>
      <c r="AG98" s="37">
        <f t="shared" si="143"/>
        <v>0</v>
      </c>
      <c r="AH98" s="37">
        <f t="shared" si="144"/>
        <v>0</v>
      </c>
      <c r="AI98" s="49" t="s">
        <v>89</v>
      </c>
      <c r="AJ98" s="37">
        <f t="shared" si="145"/>
        <v>0</v>
      </c>
      <c r="AK98" s="37">
        <f t="shared" si="146"/>
        <v>0</v>
      </c>
      <c r="AL98" s="37">
        <f t="shared" si="147"/>
        <v>0</v>
      </c>
      <c r="AN98" s="37">
        <v>21</v>
      </c>
      <c r="AO98" s="37">
        <f>G98*0.071046005</f>
        <v>0</v>
      </c>
      <c r="AP98" s="37">
        <f>G98*(1-0.071046005)</f>
        <v>0</v>
      </c>
      <c r="AQ98" s="72" t="s">
        <v>219</v>
      </c>
      <c r="AV98" s="37">
        <f t="shared" si="148"/>
        <v>0</v>
      </c>
      <c r="AW98" s="37">
        <f t="shared" si="149"/>
        <v>0</v>
      </c>
      <c r="AX98" s="37">
        <f t="shared" si="150"/>
        <v>0</v>
      </c>
      <c r="AY98" s="72" t="s">
        <v>428</v>
      </c>
      <c r="AZ98" s="72" t="s">
        <v>413</v>
      </c>
      <c r="BA98" s="49" t="s">
        <v>226</v>
      </c>
      <c r="BC98" s="37">
        <f t="shared" si="151"/>
        <v>0</v>
      </c>
      <c r="BD98" s="37">
        <f t="shared" si="152"/>
        <v>0</v>
      </c>
      <c r="BE98" s="37">
        <v>0</v>
      </c>
      <c r="BF98" s="37">
        <f>98</f>
        <v>98</v>
      </c>
      <c r="BH98" s="37">
        <f t="shared" si="153"/>
        <v>0</v>
      </c>
      <c r="BI98" s="37">
        <f t="shared" si="154"/>
        <v>0</v>
      </c>
      <c r="BJ98" s="37">
        <f t="shared" si="155"/>
        <v>0</v>
      </c>
      <c r="BK98" s="37"/>
      <c r="BL98" s="37">
        <v>59</v>
      </c>
      <c r="BW98" s="37">
        <v>21</v>
      </c>
      <c r="BX98" s="3" t="s">
        <v>440</v>
      </c>
    </row>
    <row r="99" spans="1:76" x14ac:dyDescent="0.25">
      <c r="A99" s="1" t="s">
        <v>441</v>
      </c>
      <c r="B99" s="2" t="s">
        <v>442</v>
      </c>
      <c r="C99" s="279" t="s">
        <v>443</v>
      </c>
      <c r="D99" s="280"/>
      <c r="E99" s="2" t="s">
        <v>329</v>
      </c>
      <c r="F99" s="37">
        <v>261.60000000000002</v>
      </c>
      <c r="G99" s="78">
        <v>0</v>
      </c>
      <c r="H99" s="37">
        <f t="shared" si="134"/>
        <v>0</v>
      </c>
      <c r="I99" s="37">
        <f t="shared" si="135"/>
        <v>0</v>
      </c>
      <c r="J99" s="37">
        <f t="shared" si="136"/>
        <v>0</v>
      </c>
      <c r="K99" s="79" t="s">
        <v>334</v>
      </c>
      <c r="Z99" s="37">
        <f t="shared" si="137"/>
        <v>0</v>
      </c>
      <c r="AB99" s="37">
        <f t="shared" si="138"/>
        <v>0</v>
      </c>
      <c r="AC99" s="37">
        <f t="shared" si="139"/>
        <v>0</v>
      </c>
      <c r="AD99" s="37">
        <f t="shared" si="140"/>
        <v>0</v>
      </c>
      <c r="AE99" s="37">
        <f t="shared" si="141"/>
        <v>0</v>
      </c>
      <c r="AF99" s="37">
        <f t="shared" si="142"/>
        <v>0</v>
      </c>
      <c r="AG99" s="37">
        <f t="shared" si="143"/>
        <v>0</v>
      </c>
      <c r="AH99" s="37">
        <f t="shared" si="144"/>
        <v>0</v>
      </c>
      <c r="AI99" s="49" t="s">
        <v>89</v>
      </c>
      <c r="AJ99" s="37">
        <f t="shared" si="145"/>
        <v>0</v>
      </c>
      <c r="AK99" s="37">
        <f t="shared" si="146"/>
        <v>0</v>
      </c>
      <c r="AL99" s="37">
        <f t="shared" si="147"/>
        <v>0</v>
      </c>
      <c r="AN99" s="37">
        <v>21</v>
      </c>
      <c r="AO99" s="37">
        <f>G99*1</f>
        <v>0</v>
      </c>
      <c r="AP99" s="37">
        <f>G99*(1-1)</f>
        <v>0</v>
      </c>
      <c r="AQ99" s="72" t="s">
        <v>219</v>
      </c>
      <c r="AV99" s="37">
        <f t="shared" si="148"/>
        <v>0</v>
      </c>
      <c r="AW99" s="37">
        <f t="shared" si="149"/>
        <v>0</v>
      </c>
      <c r="AX99" s="37">
        <f t="shared" si="150"/>
        <v>0</v>
      </c>
      <c r="AY99" s="72" t="s">
        <v>428</v>
      </c>
      <c r="AZ99" s="72" t="s">
        <v>413</v>
      </c>
      <c r="BA99" s="49" t="s">
        <v>226</v>
      </c>
      <c r="BC99" s="37">
        <f t="shared" si="151"/>
        <v>0</v>
      </c>
      <c r="BD99" s="37">
        <f t="shared" si="152"/>
        <v>0</v>
      </c>
      <c r="BE99" s="37">
        <v>0</v>
      </c>
      <c r="BF99" s="37">
        <f>99</f>
        <v>99</v>
      </c>
      <c r="BH99" s="37">
        <f t="shared" si="153"/>
        <v>0</v>
      </c>
      <c r="BI99" s="37">
        <f t="shared" si="154"/>
        <v>0</v>
      </c>
      <c r="BJ99" s="37">
        <f t="shared" si="155"/>
        <v>0</v>
      </c>
      <c r="BK99" s="37"/>
      <c r="BL99" s="37">
        <v>59</v>
      </c>
      <c r="BW99" s="37">
        <v>21</v>
      </c>
      <c r="BX99" s="3" t="s">
        <v>443</v>
      </c>
    </row>
    <row r="100" spans="1:76" x14ac:dyDescent="0.25">
      <c r="A100" s="1" t="s">
        <v>141</v>
      </c>
      <c r="B100" s="2" t="s">
        <v>444</v>
      </c>
      <c r="C100" s="279" t="s">
        <v>445</v>
      </c>
      <c r="D100" s="280"/>
      <c r="E100" s="2" t="s">
        <v>333</v>
      </c>
      <c r="F100" s="37">
        <v>22.85</v>
      </c>
      <c r="G100" s="78">
        <v>0</v>
      </c>
      <c r="H100" s="37">
        <f t="shared" si="134"/>
        <v>0</v>
      </c>
      <c r="I100" s="37">
        <f t="shared" si="135"/>
        <v>0</v>
      </c>
      <c r="J100" s="37">
        <f t="shared" si="136"/>
        <v>0</v>
      </c>
      <c r="K100" s="79" t="s">
        <v>223</v>
      </c>
      <c r="Z100" s="37">
        <f t="shared" si="137"/>
        <v>0</v>
      </c>
      <c r="AB100" s="37">
        <f t="shared" si="138"/>
        <v>0</v>
      </c>
      <c r="AC100" s="37">
        <f t="shared" si="139"/>
        <v>0</v>
      </c>
      <c r="AD100" s="37">
        <f t="shared" si="140"/>
        <v>0</v>
      </c>
      <c r="AE100" s="37">
        <f t="shared" si="141"/>
        <v>0</v>
      </c>
      <c r="AF100" s="37">
        <f t="shared" si="142"/>
        <v>0</v>
      </c>
      <c r="AG100" s="37">
        <f t="shared" si="143"/>
        <v>0</v>
      </c>
      <c r="AH100" s="37">
        <f t="shared" si="144"/>
        <v>0</v>
      </c>
      <c r="AI100" s="49" t="s">
        <v>89</v>
      </c>
      <c r="AJ100" s="37">
        <f t="shared" si="145"/>
        <v>0</v>
      </c>
      <c r="AK100" s="37">
        <f t="shared" si="146"/>
        <v>0</v>
      </c>
      <c r="AL100" s="37">
        <f t="shared" si="147"/>
        <v>0</v>
      </c>
      <c r="AN100" s="37">
        <v>21</v>
      </c>
      <c r="AO100" s="37">
        <f>G100*0.873275862</f>
        <v>0</v>
      </c>
      <c r="AP100" s="37">
        <f>G100*(1-0.873275862)</f>
        <v>0</v>
      </c>
      <c r="AQ100" s="72" t="s">
        <v>219</v>
      </c>
      <c r="AV100" s="37">
        <f t="shared" si="148"/>
        <v>0</v>
      </c>
      <c r="AW100" s="37">
        <f t="shared" si="149"/>
        <v>0</v>
      </c>
      <c r="AX100" s="37">
        <f t="shared" si="150"/>
        <v>0</v>
      </c>
      <c r="AY100" s="72" t="s">
        <v>428</v>
      </c>
      <c r="AZ100" s="72" t="s">
        <v>413</v>
      </c>
      <c r="BA100" s="49" t="s">
        <v>226</v>
      </c>
      <c r="BC100" s="37">
        <f t="shared" si="151"/>
        <v>0</v>
      </c>
      <c r="BD100" s="37">
        <f t="shared" si="152"/>
        <v>0</v>
      </c>
      <c r="BE100" s="37">
        <v>0</v>
      </c>
      <c r="BF100" s="37">
        <f>100</f>
        <v>100</v>
      </c>
      <c r="BH100" s="37">
        <f t="shared" si="153"/>
        <v>0</v>
      </c>
      <c r="BI100" s="37">
        <f t="shared" si="154"/>
        <v>0</v>
      </c>
      <c r="BJ100" s="37">
        <f t="shared" si="155"/>
        <v>0</v>
      </c>
      <c r="BK100" s="37"/>
      <c r="BL100" s="37">
        <v>59</v>
      </c>
      <c r="BW100" s="37">
        <v>21</v>
      </c>
      <c r="BX100" s="3" t="s">
        <v>445</v>
      </c>
    </row>
    <row r="101" spans="1:76" x14ac:dyDescent="0.25">
      <c r="A101" s="1" t="s">
        <v>446</v>
      </c>
      <c r="B101" s="2" t="s">
        <v>447</v>
      </c>
      <c r="C101" s="279" t="s">
        <v>448</v>
      </c>
      <c r="D101" s="280"/>
      <c r="E101" s="2" t="s">
        <v>249</v>
      </c>
      <c r="F101" s="37">
        <v>19.475000000000001</v>
      </c>
      <c r="G101" s="78">
        <v>0</v>
      </c>
      <c r="H101" s="37">
        <f t="shared" si="134"/>
        <v>0</v>
      </c>
      <c r="I101" s="37">
        <f t="shared" si="135"/>
        <v>0</v>
      </c>
      <c r="J101" s="37">
        <f t="shared" si="136"/>
        <v>0</v>
      </c>
      <c r="K101" s="79" t="s">
        <v>334</v>
      </c>
      <c r="Z101" s="37">
        <f t="shared" si="137"/>
        <v>0</v>
      </c>
      <c r="AB101" s="37">
        <f t="shared" si="138"/>
        <v>0</v>
      </c>
      <c r="AC101" s="37">
        <f t="shared" si="139"/>
        <v>0</v>
      </c>
      <c r="AD101" s="37">
        <f t="shared" si="140"/>
        <v>0</v>
      </c>
      <c r="AE101" s="37">
        <f t="shared" si="141"/>
        <v>0</v>
      </c>
      <c r="AF101" s="37">
        <f t="shared" si="142"/>
        <v>0</v>
      </c>
      <c r="AG101" s="37">
        <f t="shared" si="143"/>
        <v>0</v>
      </c>
      <c r="AH101" s="37">
        <f t="shared" si="144"/>
        <v>0</v>
      </c>
      <c r="AI101" s="49" t="s">
        <v>89</v>
      </c>
      <c r="AJ101" s="37">
        <f t="shared" si="145"/>
        <v>0</v>
      </c>
      <c r="AK101" s="37">
        <f t="shared" si="146"/>
        <v>0</v>
      </c>
      <c r="AL101" s="37">
        <f t="shared" si="147"/>
        <v>0</v>
      </c>
      <c r="AN101" s="37">
        <v>21</v>
      </c>
      <c r="AO101" s="37">
        <f>G101*0.226168482</f>
        <v>0</v>
      </c>
      <c r="AP101" s="37">
        <f>G101*(1-0.226168482)</f>
        <v>0</v>
      </c>
      <c r="AQ101" s="72" t="s">
        <v>219</v>
      </c>
      <c r="AV101" s="37">
        <f t="shared" si="148"/>
        <v>0</v>
      </c>
      <c r="AW101" s="37">
        <f t="shared" si="149"/>
        <v>0</v>
      </c>
      <c r="AX101" s="37">
        <f t="shared" si="150"/>
        <v>0</v>
      </c>
      <c r="AY101" s="72" t="s">
        <v>428</v>
      </c>
      <c r="AZ101" s="72" t="s">
        <v>413</v>
      </c>
      <c r="BA101" s="49" t="s">
        <v>226</v>
      </c>
      <c r="BC101" s="37">
        <f t="shared" si="151"/>
        <v>0</v>
      </c>
      <c r="BD101" s="37">
        <f t="shared" si="152"/>
        <v>0</v>
      </c>
      <c r="BE101" s="37">
        <v>0</v>
      </c>
      <c r="BF101" s="37">
        <f>101</f>
        <v>101</v>
      </c>
      <c r="BH101" s="37">
        <f t="shared" si="153"/>
        <v>0</v>
      </c>
      <c r="BI101" s="37">
        <f t="shared" si="154"/>
        <v>0</v>
      </c>
      <c r="BJ101" s="37">
        <f t="shared" si="155"/>
        <v>0</v>
      </c>
      <c r="BK101" s="37"/>
      <c r="BL101" s="37">
        <v>59</v>
      </c>
      <c r="BW101" s="37">
        <v>21</v>
      </c>
      <c r="BX101" s="3" t="s">
        <v>448</v>
      </c>
    </row>
    <row r="102" spans="1:76" x14ac:dyDescent="0.25">
      <c r="A102" s="80" t="s">
        <v>4</v>
      </c>
      <c r="B102" s="81" t="s">
        <v>121</v>
      </c>
      <c r="C102" s="365" t="s">
        <v>122</v>
      </c>
      <c r="D102" s="366"/>
      <c r="E102" s="82" t="s">
        <v>81</v>
      </c>
      <c r="F102" s="82" t="s">
        <v>81</v>
      </c>
      <c r="G102" s="83" t="s">
        <v>81</v>
      </c>
      <c r="H102" s="43">
        <f>SUM(H103:H107)</f>
        <v>0</v>
      </c>
      <c r="I102" s="43">
        <f>SUM(I103:I107)</f>
        <v>0</v>
      </c>
      <c r="J102" s="43">
        <f>SUM(J103:J107)</f>
        <v>0</v>
      </c>
      <c r="K102" s="84" t="s">
        <v>4</v>
      </c>
      <c r="AI102" s="49" t="s">
        <v>89</v>
      </c>
      <c r="AS102" s="43">
        <f>SUM(AJ103:AJ107)</f>
        <v>0</v>
      </c>
      <c r="AT102" s="43">
        <f>SUM(AK103:AK107)</f>
        <v>0</v>
      </c>
      <c r="AU102" s="43">
        <f>SUM(AL103:AL107)</f>
        <v>0</v>
      </c>
    </row>
    <row r="103" spans="1:76" x14ac:dyDescent="0.25">
      <c r="A103" s="1" t="s">
        <v>449</v>
      </c>
      <c r="B103" s="2" t="s">
        <v>450</v>
      </c>
      <c r="C103" s="279" t="s">
        <v>451</v>
      </c>
      <c r="D103" s="280"/>
      <c r="E103" s="2" t="s">
        <v>249</v>
      </c>
      <c r="F103" s="37">
        <v>64.989999999999995</v>
      </c>
      <c r="G103" s="78">
        <v>0</v>
      </c>
      <c r="H103" s="37">
        <f>F103*AO103</f>
        <v>0</v>
      </c>
      <c r="I103" s="37">
        <f>F103*AP103</f>
        <v>0</v>
      </c>
      <c r="J103" s="37">
        <f>F103*G103</f>
        <v>0</v>
      </c>
      <c r="K103" s="79" t="s">
        <v>223</v>
      </c>
      <c r="Z103" s="37">
        <f>IF(AQ103="5",BJ103,0)</f>
        <v>0</v>
      </c>
      <c r="AB103" s="37">
        <f>IF(AQ103="1",BH103,0)</f>
        <v>0</v>
      </c>
      <c r="AC103" s="37">
        <f>IF(AQ103="1",BI103,0)</f>
        <v>0</v>
      </c>
      <c r="AD103" s="37">
        <f>IF(AQ103="7",BH103,0)</f>
        <v>0</v>
      </c>
      <c r="AE103" s="37">
        <f>IF(AQ103="7",BI103,0)</f>
        <v>0</v>
      </c>
      <c r="AF103" s="37">
        <f>IF(AQ103="2",BH103,0)</f>
        <v>0</v>
      </c>
      <c r="AG103" s="37">
        <f>IF(AQ103="2",BI103,0)</f>
        <v>0</v>
      </c>
      <c r="AH103" s="37">
        <f>IF(AQ103="0",BJ103,0)</f>
        <v>0</v>
      </c>
      <c r="AI103" s="49" t="s">
        <v>89</v>
      </c>
      <c r="AJ103" s="37">
        <f>IF(AN103=0,J103,0)</f>
        <v>0</v>
      </c>
      <c r="AK103" s="37">
        <f>IF(AN103=12,J103,0)</f>
        <v>0</v>
      </c>
      <c r="AL103" s="37">
        <f>IF(AN103=21,J103,0)</f>
        <v>0</v>
      </c>
      <c r="AN103" s="37">
        <v>21</v>
      </c>
      <c r="AO103" s="37">
        <f>G103*0.352554348</f>
        <v>0</v>
      </c>
      <c r="AP103" s="37">
        <f>G103*(1-0.352554348)</f>
        <v>0</v>
      </c>
      <c r="AQ103" s="72" t="s">
        <v>219</v>
      </c>
      <c r="AV103" s="37">
        <f>AW103+AX103</f>
        <v>0</v>
      </c>
      <c r="AW103" s="37">
        <f>F103*AO103</f>
        <v>0</v>
      </c>
      <c r="AX103" s="37">
        <f>F103*AP103</f>
        <v>0</v>
      </c>
      <c r="AY103" s="72" t="s">
        <v>452</v>
      </c>
      <c r="AZ103" s="72" t="s">
        <v>453</v>
      </c>
      <c r="BA103" s="49" t="s">
        <v>226</v>
      </c>
      <c r="BC103" s="37">
        <f>AW103+AX103</f>
        <v>0</v>
      </c>
      <c r="BD103" s="37">
        <f>G103/(100-BE103)*100</f>
        <v>0</v>
      </c>
      <c r="BE103" s="37">
        <v>0</v>
      </c>
      <c r="BF103" s="37">
        <f>103</f>
        <v>103</v>
      </c>
      <c r="BH103" s="37">
        <f>F103*AO103</f>
        <v>0</v>
      </c>
      <c r="BI103" s="37">
        <f>F103*AP103</f>
        <v>0</v>
      </c>
      <c r="BJ103" s="37">
        <f>F103*G103</f>
        <v>0</v>
      </c>
      <c r="BK103" s="37"/>
      <c r="BL103" s="37">
        <v>61</v>
      </c>
      <c r="BW103" s="37">
        <v>21</v>
      </c>
      <c r="BX103" s="3" t="s">
        <v>451</v>
      </c>
    </row>
    <row r="104" spans="1:76" x14ac:dyDescent="0.25">
      <c r="A104" s="1" t="s">
        <v>454</v>
      </c>
      <c r="B104" s="2" t="s">
        <v>455</v>
      </c>
      <c r="C104" s="279" t="s">
        <v>456</v>
      </c>
      <c r="D104" s="280"/>
      <c r="E104" s="2" t="s">
        <v>249</v>
      </c>
      <c r="F104" s="37">
        <v>12</v>
      </c>
      <c r="G104" s="78">
        <v>0</v>
      </c>
      <c r="H104" s="37">
        <f>F104*AO104</f>
        <v>0</v>
      </c>
      <c r="I104" s="37">
        <f>F104*AP104</f>
        <v>0</v>
      </c>
      <c r="J104" s="37">
        <f>F104*G104</f>
        <v>0</v>
      </c>
      <c r="K104" s="79" t="s">
        <v>223</v>
      </c>
      <c r="Z104" s="37">
        <f>IF(AQ104="5",BJ104,0)</f>
        <v>0</v>
      </c>
      <c r="AB104" s="37">
        <f>IF(AQ104="1",BH104,0)</f>
        <v>0</v>
      </c>
      <c r="AC104" s="37">
        <f>IF(AQ104="1",BI104,0)</f>
        <v>0</v>
      </c>
      <c r="AD104" s="37">
        <f>IF(AQ104="7",BH104,0)</f>
        <v>0</v>
      </c>
      <c r="AE104" s="37">
        <f>IF(AQ104="7",BI104,0)</f>
        <v>0</v>
      </c>
      <c r="AF104" s="37">
        <f>IF(AQ104="2",BH104,0)</f>
        <v>0</v>
      </c>
      <c r="AG104" s="37">
        <f>IF(AQ104="2",BI104,0)</f>
        <v>0</v>
      </c>
      <c r="AH104" s="37">
        <f>IF(AQ104="0",BJ104,0)</f>
        <v>0</v>
      </c>
      <c r="AI104" s="49" t="s">
        <v>89</v>
      </c>
      <c r="AJ104" s="37">
        <f>IF(AN104=0,J104,0)</f>
        <v>0</v>
      </c>
      <c r="AK104" s="37">
        <f>IF(AN104=12,J104,0)</f>
        <v>0</v>
      </c>
      <c r="AL104" s="37">
        <f>IF(AN104=21,J104,0)</f>
        <v>0</v>
      </c>
      <c r="AN104" s="37">
        <v>21</v>
      </c>
      <c r="AO104" s="37">
        <f>G104*0.466926714</f>
        <v>0</v>
      </c>
      <c r="AP104" s="37">
        <f>G104*(1-0.466926714)</f>
        <v>0</v>
      </c>
      <c r="AQ104" s="72" t="s">
        <v>219</v>
      </c>
      <c r="AV104" s="37">
        <f>AW104+AX104</f>
        <v>0</v>
      </c>
      <c r="AW104" s="37">
        <f>F104*AO104</f>
        <v>0</v>
      </c>
      <c r="AX104" s="37">
        <f>F104*AP104</f>
        <v>0</v>
      </c>
      <c r="AY104" s="72" t="s">
        <v>452</v>
      </c>
      <c r="AZ104" s="72" t="s">
        <v>453</v>
      </c>
      <c r="BA104" s="49" t="s">
        <v>226</v>
      </c>
      <c r="BC104" s="37">
        <f>AW104+AX104</f>
        <v>0</v>
      </c>
      <c r="BD104" s="37">
        <f>G104/(100-BE104)*100</f>
        <v>0</v>
      </c>
      <c r="BE104" s="37">
        <v>0</v>
      </c>
      <c r="BF104" s="37">
        <f>104</f>
        <v>104</v>
      </c>
      <c r="BH104" s="37">
        <f>F104*AO104</f>
        <v>0</v>
      </c>
      <c r="BI104" s="37">
        <f>F104*AP104</f>
        <v>0</v>
      </c>
      <c r="BJ104" s="37">
        <f>F104*G104</f>
        <v>0</v>
      </c>
      <c r="BK104" s="37"/>
      <c r="BL104" s="37">
        <v>61</v>
      </c>
      <c r="BW104" s="37">
        <v>21</v>
      </c>
      <c r="BX104" s="3" t="s">
        <v>456</v>
      </c>
    </row>
    <row r="105" spans="1:76" x14ac:dyDescent="0.25">
      <c r="A105" s="1" t="s">
        <v>457</v>
      </c>
      <c r="B105" s="2" t="s">
        <v>458</v>
      </c>
      <c r="C105" s="279" t="s">
        <v>459</v>
      </c>
      <c r="D105" s="280"/>
      <c r="E105" s="2" t="s">
        <v>249</v>
      </c>
      <c r="F105" s="37">
        <v>87.284999999999997</v>
      </c>
      <c r="G105" s="78">
        <v>0</v>
      </c>
      <c r="H105" s="37">
        <f>F105*AO105</f>
        <v>0</v>
      </c>
      <c r="I105" s="37">
        <f>F105*AP105</f>
        <v>0</v>
      </c>
      <c r="J105" s="37">
        <f>F105*G105</f>
        <v>0</v>
      </c>
      <c r="K105" s="79" t="s">
        <v>334</v>
      </c>
      <c r="Z105" s="37">
        <f>IF(AQ105="5",BJ105,0)</f>
        <v>0</v>
      </c>
      <c r="AB105" s="37">
        <f>IF(AQ105="1",BH105,0)</f>
        <v>0</v>
      </c>
      <c r="AC105" s="37">
        <f>IF(AQ105="1",BI105,0)</f>
        <v>0</v>
      </c>
      <c r="AD105" s="37">
        <f>IF(AQ105="7",BH105,0)</f>
        <v>0</v>
      </c>
      <c r="AE105" s="37">
        <f>IF(AQ105="7",BI105,0)</f>
        <v>0</v>
      </c>
      <c r="AF105" s="37">
        <f>IF(AQ105="2",BH105,0)</f>
        <v>0</v>
      </c>
      <c r="AG105" s="37">
        <f>IF(AQ105="2",BI105,0)</f>
        <v>0</v>
      </c>
      <c r="AH105" s="37">
        <f>IF(AQ105="0",BJ105,0)</f>
        <v>0</v>
      </c>
      <c r="AI105" s="49" t="s">
        <v>89</v>
      </c>
      <c r="AJ105" s="37">
        <f>IF(AN105=0,J105,0)</f>
        <v>0</v>
      </c>
      <c r="AK105" s="37">
        <f>IF(AN105=12,J105,0)</f>
        <v>0</v>
      </c>
      <c r="AL105" s="37">
        <f>IF(AN105=21,J105,0)</f>
        <v>0</v>
      </c>
      <c r="AN105" s="37">
        <v>21</v>
      </c>
      <c r="AO105" s="37">
        <f>G105*0.513293836</f>
        <v>0</v>
      </c>
      <c r="AP105" s="37">
        <f>G105*(1-0.513293836)</f>
        <v>0</v>
      </c>
      <c r="AQ105" s="72" t="s">
        <v>219</v>
      </c>
      <c r="AV105" s="37">
        <f>AW105+AX105</f>
        <v>0</v>
      </c>
      <c r="AW105" s="37">
        <f>F105*AO105</f>
        <v>0</v>
      </c>
      <c r="AX105" s="37">
        <f>F105*AP105</f>
        <v>0</v>
      </c>
      <c r="AY105" s="72" t="s">
        <v>452</v>
      </c>
      <c r="AZ105" s="72" t="s">
        <v>453</v>
      </c>
      <c r="BA105" s="49" t="s">
        <v>226</v>
      </c>
      <c r="BC105" s="37">
        <f>AW105+AX105</f>
        <v>0</v>
      </c>
      <c r="BD105" s="37">
        <f>G105/(100-BE105)*100</f>
        <v>0</v>
      </c>
      <c r="BE105" s="37">
        <v>0</v>
      </c>
      <c r="BF105" s="37">
        <f>105</f>
        <v>105</v>
      </c>
      <c r="BH105" s="37">
        <f>F105*AO105</f>
        <v>0</v>
      </c>
      <c r="BI105" s="37">
        <f>F105*AP105</f>
        <v>0</v>
      </c>
      <c r="BJ105" s="37">
        <f>F105*G105</f>
        <v>0</v>
      </c>
      <c r="BK105" s="37"/>
      <c r="BL105" s="37">
        <v>61</v>
      </c>
      <c r="BW105" s="37">
        <v>21</v>
      </c>
      <c r="BX105" s="3" t="s">
        <v>459</v>
      </c>
    </row>
    <row r="106" spans="1:76" x14ac:dyDescent="0.25">
      <c r="A106" s="1" t="s">
        <v>460</v>
      </c>
      <c r="B106" s="2" t="s">
        <v>461</v>
      </c>
      <c r="C106" s="279" t="s">
        <v>462</v>
      </c>
      <c r="D106" s="280"/>
      <c r="E106" s="2" t="s">
        <v>333</v>
      </c>
      <c r="F106" s="37">
        <v>115.55</v>
      </c>
      <c r="G106" s="78">
        <v>0</v>
      </c>
      <c r="H106" s="37">
        <f>F106*AO106</f>
        <v>0</v>
      </c>
      <c r="I106" s="37">
        <f>F106*AP106</f>
        <v>0</v>
      </c>
      <c r="J106" s="37">
        <f>F106*G106</f>
        <v>0</v>
      </c>
      <c r="K106" s="79" t="s">
        <v>223</v>
      </c>
      <c r="Z106" s="37">
        <f>IF(AQ106="5",BJ106,0)</f>
        <v>0</v>
      </c>
      <c r="AB106" s="37">
        <f>IF(AQ106="1",BH106,0)</f>
        <v>0</v>
      </c>
      <c r="AC106" s="37">
        <f>IF(AQ106="1",BI106,0)</f>
        <v>0</v>
      </c>
      <c r="AD106" s="37">
        <f>IF(AQ106="7",BH106,0)</f>
        <v>0</v>
      </c>
      <c r="AE106" s="37">
        <f>IF(AQ106="7",BI106,0)</f>
        <v>0</v>
      </c>
      <c r="AF106" s="37">
        <f>IF(AQ106="2",BH106,0)</f>
        <v>0</v>
      </c>
      <c r="AG106" s="37">
        <f>IF(AQ106="2",BI106,0)</f>
        <v>0</v>
      </c>
      <c r="AH106" s="37">
        <f>IF(AQ106="0",BJ106,0)</f>
        <v>0</v>
      </c>
      <c r="AI106" s="49" t="s">
        <v>89</v>
      </c>
      <c r="AJ106" s="37">
        <f>IF(AN106=0,J106,0)</f>
        <v>0</v>
      </c>
      <c r="AK106" s="37">
        <f>IF(AN106=12,J106,0)</f>
        <v>0</v>
      </c>
      <c r="AL106" s="37">
        <f>IF(AN106=21,J106,0)</f>
        <v>0</v>
      </c>
      <c r="AN106" s="37">
        <v>21</v>
      </c>
      <c r="AO106" s="37">
        <f>G106*0.223544222</f>
        <v>0</v>
      </c>
      <c r="AP106" s="37">
        <f>G106*(1-0.223544222)</f>
        <v>0</v>
      </c>
      <c r="AQ106" s="72" t="s">
        <v>219</v>
      </c>
      <c r="AV106" s="37">
        <f>AW106+AX106</f>
        <v>0</v>
      </c>
      <c r="AW106" s="37">
        <f>F106*AO106</f>
        <v>0</v>
      </c>
      <c r="AX106" s="37">
        <f>F106*AP106</f>
        <v>0</v>
      </c>
      <c r="AY106" s="72" t="s">
        <v>452</v>
      </c>
      <c r="AZ106" s="72" t="s">
        <v>453</v>
      </c>
      <c r="BA106" s="49" t="s">
        <v>226</v>
      </c>
      <c r="BC106" s="37">
        <f>AW106+AX106</f>
        <v>0</v>
      </c>
      <c r="BD106" s="37">
        <f>G106/(100-BE106)*100</f>
        <v>0</v>
      </c>
      <c r="BE106" s="37">
        <v>0</v>
      </c>
      <c r="BF106" s="37">
        <f>106</f>
        <v>106</v>
      </c>
      <c r="BH106" s="37">
        <f>F106*AO106</f>
        <v>0</v>
      </c>
      <c r="BI106" s="37">
        <f>F106*AP106</f>
        <v>0</v>
      </c>
      <c r="BJ106" s="37">
        <f>F106*G106</f>
        <v>0</v>
      </c>
      <c r="BK106" s="37"/>
      <c r="BL106" s="37">
        <v>61</v>
      </c>
      <c r="BW106" s="37">
        <v>21</v>
      </c>
      <c r="BX106" s="3" t="s">
        <v>462</v>
      </c>
    </row>
    <row r="107" spans="1:76" x14ac:dyDescent="0.25">
      <c r="A107" s="1" t="s">
        <v>463</v>
      </c>
      <c r="B107" s="2" t="s">
        <v>464</v>
      </c>
      <c r="C107" s="279" t="s">
        <v>465</v>
      </c>
      <c r="D107" s="280"/>
      <c r="E107" s="2" t="s">
        <v>249</v>
      </c>
      <c r="F107" s="37">
        <v>148.3904</v>
      </c>
      <c r="G107" s="78">
        <v>0</v>
      </c>
      <c r="H107" s="37">
        <f>F107*AO107</f>
        <v>0</v>
      </c>
      <c r="I107" s="37">
        <f>F107*AP107</f>
        <v>0</v>
      </c>
      <c r="J107" s="37">
        <f>F107*G107</f>
        <v>0</v>
      </c>
      <c r="K107" s="79" t="s">
        <v>223</v>
      </c>
      <c r="Z107" s="37">
        <f>IF(AQ107="5",BJ107,0)</f>
        <v>0</v>
      </c>
      <c r="AB107" s="37">
        <f>IF(AQ107="1",BH107,0)</f>
        <v>0</v>
      </c>
      <c r="AC107" s="37">
        <f>IF(AQ107="1",BI107,0)</f>
        <v>0</v>
      </c>
      <c r="AD107" s="37">
        <f>IF(AQ107="7",BH107,0)</f>
        <v>0</v>
      </c>
      <c r="AE107" s="37">
        <f>IF(AQ107="7",BI107,0)</f>
        <v>0</v>
      </c>
      <c r="AF107" s="37">
        <f>IF(AQ107="2",BH107,0)</f>
        <v>0</v>
      </c>
      <c r="AG107" s="37">
        <f>IF(AQ107="2",BI107,0)</f>
        <v>0</v>
      </c>
      <c r="AH107" s="37">
        <f>IF(AQ107="0",BJ107,0)</f>
        <v>0</v>
      </c>
      <c r="AI107" s="49" t="s">
        <v>89</v>
      </c>
      <c r="AJ107" s="37">
        <f>IF(AN107=0,J107,0)</f>
        <v>0</v>
      </c>
      <c r="AK107" s="37">
        <f>IF(AN107=12,J107,0)</f>
        <v>0</v>
      </c>
      <c r="AL107" s="37">
        <f>IF(AN107=21,J107,0)</f>
        <v>0</v>
      </c>
      <c r="AN107" s="37">
        <v>21</v>
      </c>
      <c r="AO107" s="37">
        <f>G107*0.118914286</f>
        <v>0</v>
      </c>
      <c r="AP107" s="37">
        <f>G107*(1-0.118914286)</f>
        <v>0</v>
      </c>
      <c r="AQ107" s="72" t="s">
        <v>219</v>
      </c>
      <c r="AV107" s="37">
        <f>AW107+AX107</f>
        <v>0</v>
      </c>
      <c r="AW107" s="37">
        <f>F107*AO107</f>
        <v>0</v>
      </c>
      <c r="AX107" s="37">
        <f>F107*AP107</f>
        <v>0</v>
      </c>
      <c r="AY107" s="72" t="s">
        <v>452</v>
      </c>
      <c r="AZ107" s="72" t="s">
        <v>453</v>
      </c>
      <c r="BA107" s="49" t="s">
        <v>226</v>
      </c>
      <c r="BC107" s="37">
        <f>AW107+AX107</f>
        <v>0</v>
      </c>
      <c r="BD107" s="37">
        <f>G107/(100-BE107)*100</f>
        <v>0</v>
      </c>
      <c r="BE107" s="37">
        <v>0</v>
      </c>
      <c r="BF107" s="37">
        <f>107</f>
        <v>107</v>
      </c>
      <c r="BH107" s="37">
        <f>F107*AO107</f>
        <v>0</v>
      </c>
      <c r="BI107" s="37">
        <f>F107*AP107</f>
        <v>0</v>
      </c>
      <c r="BJ107" s="37">
        <f>F107*G107</f>
        <v>0</v>
      </c>
      <c r="BK107" s="37"/>
      <c r="BL107" s="37">
        <v>61</v>
      </c>
      <c r="BW107" s="37">
        <v>21</v>
      </c>
      <c r="BX107" s="3" t="s">
        <v>465</v>
      </c>
    </row>
    <row r="108" spans="1:76" x14ac:dyDescent="0.25">
      <c r="A108" s="80" t="s">
        <v>4</v>
      </c>
      <c r="B108" s="81" t="s">
        <v>123</v>
      </c>
      <c r="C108" s="365" t="s">
        <v>124</v>
      </c>
      <c r="D108" s="366"/>
      <c r="E108" s="82" t="s">
        <v>81</v>
      </c>
      <c r="F108" s="82" t="s">
        <v>81</v>
      </c>
      <c r="G108" s="83" t="s">
        <v>81</v>
      </c>
      <c r="H108" s="43">
        <f>SUM(H109:H117)</f>
        <v>0</v>
      </c>
      <c r="I108" s="43">
        <f>SUM(I109:I117)</f>
        <v>0</v>
      </c>
      <c r="J108" s="43">
        <f>SUM(J109:J117)</f>
        <v>0</v>
      </c>
      <c r="K108" s="84" t="s">
        <v>4</v>
      </c>
      <c r="AI108" s="49" t="s">
        <v>89</v>
      </c>
      <c r="AS108" s="43">
        <f>SUM(AJ109:AJ117)</f>
        <v>0</v>
      </c>
      <c r="AT108" s="43">
        <f>SUM(AK109:AK117)</f>
        <v>0</v>
      </c>
      <c r="AU108" s="43">
        <f>SUM(AL109:AL117)</f>
        <v>0</v>
      </c>
    </row>
    <row r="109" spans="1:76" x14ac:dyDescent="0.25">
      <c r="A109" s="1" t="s">
        <v>466</v>
      </c>
      <c r="B109" s="2" t="s">
        <v>467</v>
      </c>
      <c r="C109" s="279" t="s">
        <v>468</v>
      </c>
      <c r="D109" s="280"/>
      <c r="E109" s="2" t="s">
        <v>333</v>
      </c>
      <c r="F109" s="37">
        <v>44.405000000000001</v>
      </c>
      <c r="G109" s="78">
        <v>0</v>
      </c>
      <c r="H109" s="37">
        <f t="shared" ref="H109:H117" si="156">F109*AO109</f>
        <v>0</v>
      </c>
      <c r="I109" s="37">
        <f t="shared" ref="I109:I117" si="157">F109*AP109</f>
        <v>0</v>
      </c>
      <c r="J109" s="37">
        <f t="shared" ref="J109:J117" si="158">F109*G109</f>
        <v>0</v>
      </c>
      <c r="K109" s="79" t="s">
        <v>223</v>
      </c>
      <c r="Z109" s="37">
        <f t="shared" ref="Z109:Z117" si="159">IF(AQ109="5",BJ109,0)</f>
        <v>0</v>
      </c>
      <c r="AB109" s="37">
        <f t="shared" ref="AB109:AB117" si="160">IF(AQ109="1",BH109,0)</f>
        <v>0</v>
      </c>
      <c r="AC109" s="37">
        <f t="shared" ref="AC109:AC117" si="161">IF(AQ109="1",BI109,0)</f>
        <v>0</v>
      </c>
      <c r="AD109" s="37">
        <f t="shared" ref="AD109:AD117" si="162">IF(AQ109="7",BH109,0)</f>
        <v>0</v>
      </c>
      <c r="AE109" s="37">
        <f t="shared" ref="AE109:AE117" si="163">IF(AQ109="7",BI109,0)</f>
        <v>0</v>
      </c>
      <c r="AF109" s="37">
        <f t="shared" ref="AF109:AF117" si="164">IF(AQ109="2",BH109,0)</f>
        <v>0</v>
      </c>
      <c r="AG109" s="37">
        <f t="shared" ref="AG109:AG117" si="165">IF(AQ109="2",BI109,0)</f>
        <v>0</v>
      </c>
      <c r="AH109" s="37">
        <f t="shared" ref="AH109:AH117" si="166">IF(AQ109="0",BJ109,0)</f>
        <v>0</v>
      </c>
      <c r="AI109" s="49" t="s">
        <v>89</v>
      </c>
      <c r="AJ109" s="37">
        <f t="shared" ref="AJ109:AJ117" si="167">IF(AN109=0,J109,0)</f>
        <v>0</v>
      </c>
      <c r="AK109" s="37">
        <f t="shared" ref="AK109:AK117" si="168">IF(AN109=12,J109,0)</f>
        <v>0</v>
      </c>
      <c r="AL109" s="37">
        <f t="shared" ref="AL109:AL117" si="169">IF(AN109=21,J109,0)</f>
        <v>0</v>
      </c>
      <c r="AN109" s="37">
        <v>21</v>
      </c>
      <c r="AO109" s="37">
        <f>G109*0.687908475</f>
        <v>0</v>
      </c>
      <c r="AP109" s="37">
        <f>G109*(1-0.687908475)</f>
        <v>0</v>
      </c>
      <c r="AQ109" s="72" t="s">
        <v>219</v>
      </c>
      <c r="AV109" s="37">
        <f t="shared" ref="AV109:AV117" si="170">AW109+AX109</f>
        <v>0</v>
      </c>
      <c r="AW109" s="37">
        <f t="shared" ref="AW109:AW117" si="171">F109*AO109</f>
        <v>0</v>
      </c>
      <c r="AX109" s="37">
        <f t="shared" ref="AX109:AX117" si="172">F109*AP109</f>
        <v>0</v>
      </c>
      <c r="AY109" s="72" t="s">
        <v>469</v>
      </c>
      <c r="AZ109" s="72" t="s">
        <v>453</v>
      </c>
      <c r="BA109" s="49" t="s">
        <v>226</v>
      </c>
      <c r="BC109" s="37">
        <f t="shared" ref="BC109:BC117" si="173">AW109+AX109</f>
        <v>0</v>
      </c>
      <c r="BD109" s="37">
        <f t="shared" ref="BD109:BD117" si="174">G109/(100-BE109)*100</f>
        <v>0</v>
      </c>
      <c r="BE109" s="37">
        <v>0</v>
      </c>
      <c r="BF109" s="37">
        <f>109</f>
        <v>109</v>
      </c>
      <c r="BH109" s="37">
        <f t="shared" ref="BH109:BH117" si="175">F109*AO109</f>
        <v>0</v>
      </c>
      <c r="BI109" s="37">
        <f t="shared" ref="BI109:BI117" si="176">F109*AP109</f>
        <v>0</v>
      </c>
      <c r="BJ109" s="37">
        <f t="shared" ref="BJ109:BJ117" si="177">F109*G109</f>
        <v>0</v>
      </c>
      <c r="BK109" s="37"/>
      <c r="BL109" s="37">
        <v>62</v>
      </c>
      <c r="BW109" s="37">
        <v>21</v>
      </c>
      <c r="BX109" s="3" t="s">
        <v>468</v>
      </c>
    </row>
    <row r="110" spans="1:76" x14ac:dyDescent="0.25">
      <c r="A110" s="1" t="s">
        <v>470</v>
      </c>
      <c r="B110" s="2" t="s">
        <v>471</v>
      </c>
      <c r="C110" s="279" t="s">
        <v>472</v>
      </c>
      <c r="D110" s="280"/>
      <c r="E110" s="2" t="s">
        <v>249</v>
      </c>
      <c r="F110" s="37">
        <v>42.310549999999999</v>
      </c>
      <c r="G110" s="78">
        <v>0</v>
      </c>
      <c r="H110" s="37">
        <f t="shared" si="156"/>
        <v>0</v>
      </c>
      <c r="I110" s="37">
        <f t="shared" si="157"/>
        <v>0</v>
      </c>
      <c r="J110" s="37">
        <f t="shared" si="158"/>
        <v>0</v>
      </c>
      <c r="K110" s="79" t="s">
        <v>223</v>
      </c>
      <c r="Z110" s="37">
        <f t="shared" si="159"/>
        <v>0</v>
      </c>
      <c r="AB110" s="37">
        <f t="shared" si="160"/>
        <v>0</v>
      </c>
      <c r="AC110" s="37">
        <f t="shared" si="161"/>
        <v>0</v>
      </c>
      <c r="AD110" s="37">
        <f t="shared" si="162"/>
        <v>0</v>
      </c>
      <c r="AE110" s="37">
        <f t="shared" si="163"/>
        <v>0</v>
      </c>
      <c r="AF110" s="37">
        <f t="shared" si="164"/>
        <v>0</v>
      </c>
      <c r="AG110" s="37">
        <f t="shared" si="165"/>
        <v>0</v>
      </c>
      <c r="AH110" s="37">
        <f t="shared" si="166"/>
        <v>0</v>
      </c>
      <c r="AI110" s="49" t="s">
        <v>89</v>
      </c>
      <c r="AJ110" s="37">
        <f t="shared" si="167"/>
        <v>0</v>
      </c>
      <c r="AK110" s="37">
        <f t="shared" si="168"/>
        <v>0</v>
      </c>
      <c r="AL110" s="37">
        <f t="shared" si="169"/>
        <v>0</v>
      </c>
      <c r="AN110" s="37">
        <v>21</v>
      </c>
      <c r="AO110" s="37">
        <f>G110*0.674266936</f>
        <v>0</v>
      </c>
      <c r="AP110" s="37">
        <f>G110*(1-0.674266936)</f>
        <v>0</v>
      </c>
      <c r="AQ110" s="72" t="s">
        <v>219</v>
      </c>
      <c r="AV110" s="37">
        <f t="shared" si="170"/>
        <v>0</v>
      </c>
      <c r="AW110" s="37">
        <f t="shared" si="171"/>
        <v>0</v>
      </c>
      <c r="AX110" s="37">
        <f t="shared" si="172"/>
        <v>0</v>
      </c>
      <c r="AY110" s="72" t="s">
        <v>469</v>
      </c>
      <c r="AZ110" s="72" t="s">
        <v>453</v>
      </c>
      <c r="BA110" s="49" t="s">
        <v>226</v>
      </c>
      <c r="BC110" s="37">
        <f t="shared" si="173"/>
        <v>0</v>
      </c>
      <c r="BD110" s="37">
        <f t="shared" si="174"/>
        <v>0</v>
      </c>
      <c r="BE110" s="37">
        <v>0</v>
      </c>
      <c r="BF110" s="37">
        <f>110</f>
        <v>110</v>
      </c>
      <c r="BH110" s="37">
        <f t="shared" si="175"/>
        <v>0</v>
      </c>
      <c r="BI110" s="37">
        <f t="shared" si="176"/>
        <v>0</v>
      </c>
      <c r="BJ110" s="37">
        <f t="shared" si="177"/>
        <v>0</v>
      </c>
      <c r="BK110" s="37"/>
      <c r="BL110" s="37">
        <v>62</v>
      </c>
      <c r="BW110" s="37">
        <v>21</v>
      </c>
      <c r="BX110" s="3" t="s">
        <v>472</v>
      </c>
    </row>
    <row r="111" spans="1:76" ht="25.5" x14ac:dyDescent="0.25">
      <c r="A111" s="1" t="s">
        <v>473</v>
      </c>
      <c r="B111" s="2" t="s">
        <v>474</v>
      </c>
      <c r="C111" s="279" t="s">
        <v>475</v>
      </c>
      <c r="D111" s="280"/>
      <c r="E111" s="2" t="s">
        <v>249</v>
      </c>
      <c r="F111" s="37">
        <v>160.57814999999999</v>
      </c>
      <c r="G111" s="78">
        <v>0</v>
      </c>
      <c r="H111" s="37">
        <f t="shared" si="156"/>
        <v>0</v>
      </c>
      <c r="I111" s="37">
        <f t="shared" si="157"/>
        <v>0</v>
      </c>
      <c r="J111" s="37">
        <f t="shared" si="158"/>
        <v>0</v>
      </c>
      <c r="K111" s="79" t="s">
        <v>223</v>
      </c>
      <c r="Z111" s="37">
        <f t="shared" si="159"/>
        <v>0</v>
      </c>
      <c r="AB111" s="37">
        <f t="shared" si="160"/>
        <v>0</v>
      </c>
      <c r="AC111" s="37">
        <f t="shared" si="161"/>
        <v>0</v>
      </c>
      <c r="AD111" s="37">
        <f t="shared" si="162"/>
        <v>0</v>
      </c>
      <c r="AE111" s="37">
        <f t="shared" si="163"/>
        <v>0</v>
      </c>
      <c r="AF111" s="37">
        <f t="shared" si="164"/>
        <v>0</v>
      </c>
      <c r="AG111" s="37">
        <f t="shared" si="165"/>
        <v>0</v>
      </c>
      <c r="AH111" s="37">
        <f t="shared" si="166"/>
        <v>0</v>
      </c>
      <c r="AI111" s="49" t="s">
        <v>89</v>
      </c>
      <c r="AJ111" s="37">
        <f t="shared" si="167"/>
        <v>0</v>
      </c>
      <c r="AK111" s="37">
        <f t="shared" si="168"/>
        <v>0</v>
      </c>
      <c r="AL111" s="37">
        <f t="shared" si="169"/>
        <v>0</v>
      </c>
      <c r="AN111" s="37">
        <v>21</v>
      </c>
      <c r="AO111" s="37">
        <f>G111*0.661287208</f>
        <v>0</v>
      </c>
      <c r="AP111" s="37">
        <f>G111*(1-0.661287208)</f>
        <v>0</v>
      </c>
      <c r="AQ111" s="72" t="s">
        <v>219</v>
      </c>
      <c r="AV111" s="37">
        <f t="shared" si="170"/>
        <v>0</v>
      </c>
      <c r="AW111" s="37">
        <f t="shared" si="171"/>
        <v>0</v>
      </c>
      <c r="AX111" s="37">
        <f t="shared" si="172"/>
        <v>0</v>
      </c>
      <c r="AY111" s="72" t="s">
        <v>469</v>
      </c>
      <c r="AZ111" s="72" t="s">
        <v>453</v>
      </c>
      <c r="BA111" s="49" t="s">
        <v>226</v>
      </c>
      <c r="BC111" s="37">
        <f t="shared" si="173"/>
        <v>0</v>
      </c>
      <c r="BD111" s="37">
        <f t="shared" si="174"/>
        <v>0</v>
      </c>
      <c r="BE111" s="37">
        <v>0</v>
      </c>
      <c r="BF111" s="37">
        <f>111</f>
        <v>111</v>
      </c>
      <c r="BH111" s="37">
        <f t="shared" si="175"/>
        <v>0</v>
      </c>
      <c r="BI111" s="37">
        <f t="shared" si="176"/>
        <v>0</v>
      </c>
      <c r="BJ111" s="37">
        <f t="shared" si="177"/>
        <v>0</v>
      </c>
      <c r="BK111" s="37"/>
      <c r="BL111" s="37">
        <v>62</v>
      </c>
      <c r="BW111" s="37">
        <v>21</v>
      </c>
      <c r="BX111" s="3" t="s">
        <v>475</v>
      </c>
    </row>
    <row r="112" spans="1:76" x14ac:dyDescent="0.25">
      <c r="A112" s="1" t="s">
        <v>165</v>
      </c>
      <c r="B112" s="2" t="s">
        <v>476</v>
      </c>
      <c r="C112" s="279" t="s">
        <v>477</v>
      </c>
      <c r="D112" s="280"/>
      <c r="E112" s="2" t="s">
        <v>249</v>
      </c>
      <c r="F112" s="37">
        <v>8.6351999999999993</v>
      </c>
      <c r="G112" s="78">
        <v>0</v>
      </c>
      <c r="H112" s="37">
        <f t="shared" si="156"/>
        <v>0</v>
      </c>
      <c r="I112" s="37">
        <f t="shared" si="157"/>
        <v>0</v>
      </c>
      <c r="J112" s="37">
        <f t="shared" si="158"/>
        <v>0</v>
      </c>
      <c r="K112" s="79" t="s">
        <v>223</v>
      </c>
      <c r="Z112" s="37">
        <f t="shared" si="159"/>
        <v>0</v>
      </c>
      <c r="AB112" s="37">
        <f t="shared" si="160"/>
        <v>0</v>
      </c>
      <c r="AC112" s="37">
        <f t="shared" si="161"/>
        <v>0</v>
      </c>
      <c r="AD112" s="37">
        <f t="shared" si="162"/>
        <v>0</v>
      </c>
      <c r="AE112" s="37">
        <f t="shared" si="163"/>
        <v>0</v>
      </c>
      <c r="AF112" s="37">
        <f t="shared" si="164"/>
        <v>0</v>
      </c>
      <c r="AG112" s="37">
        <f t="shared" si="165"/>
        <v>0</v>
      </c>
      <c r="AH112" s="37">
        <f t="shared" si="166"/>
        <v>0</v>
      </c>
      <c r="AI112" s="49" t="s">
        <v>89</v>
      </c>
      <c r="AJ112" s="37">
        <f t="shared" si="167"/>
        <v>0</v>
      </c>
      <c r="AK112" s="37">
        <f t="shared" si="168"/>
        <v>0</v>
      </c>
      <c r="AL112" s="37">
        <f t="shared" si="169"/>
        <v>0</v>
      </c>
      <c r="AN112" s="37">
        <v>21</v>
      </c>
      <c r="AO112" s="37">
        <f>G112*0.30862599</f>
        <v>0</v>
      </c>
      <c r="AP112" s="37">
        <f>G112*(1-0.30862599)</f>
        <v>0</v>
      </c>
      <c r="AQ112" s="72" t="s">
        <v>219</v>
      </c>
      <c r="AV112" s="37">
        <f t="shared" si="170"/>
        <v>0</v>
      </c>
      <c r="AW112" s="37">
        <f t="shared" si="171"/>
        <v>0</v>
      </c>
      <c r="AX112" s="37">
        <f t="shared" si="172"/>
        <v>0</v>
      </c>
      <c r="AY112" s="72" t="s">
        <v>469</v>
      </c>
      <c r="AZ112" s="72" t="s">
        <v>453</v>
      </c>
      <c r="BA112" s="49" t="s">
        <v>226</v>
      </c>
      <c r="BC112" s="37">
        <f t="shared" si="173"/>
        <v>0</v>
      </c>
      <c r="BD112" s="37">
        <f t="shared" si="174"/>
        <v>0</v>
      </c>
      <c r="BE112" s="37">
        <v>0</v>
      </c>
      <c r="BF112" s="37">
        <f>112</f>
        <v>112</v>
      </c>
      <c r="BH112" s="37">
        <f t="shared" si="175"/>
        <v>0</v>
      </c>
      <c r="BI112" s="37">
        <f t="shared" si="176"/>
        <v>0</v>
      </c>
      <c r="BJ112" s="37">
        <f t="shared" si="177"/>
        <v>0</v>
      </c>
      <c r="BK112" s="37"/>
      <c r="BL112" s="37">
        <v>62</v>
      </c>
      <c r="BW112" s="37">
        <v>21</v>
      </c>
      <c r="BX112" s="3" t="s">
        <v>477</v>
      </c>
    </row>
    <row r="113" spans="1:76" x14ac:dyDescent="0.25">
      <c r="A113" s="1" t="s">
        <v>478</v>
      </c>
      <c r="B113" s="2" t="s">
        <v>479</v>
      </c>
      <c r="C113" s="279" t="s">
        <v>480</v>
      </c>
      <c r="D113" s="280"/>
      <c r="E113" s="2" t="s">
        <v>249</v>
      </c>
      <c r="F113" s="37">
        <v>27.386700000000001</v>
      </c>
      <c r="G113" s="78">
        <v>0</v>
      </c>
      <c r="H113" s="37">
        <f t="shared" si="156"/>
        <v>0</v>
      </c>
      <c r="I113" s="37">
        <f t="shared" si="157"/>
        <v>0</v>
      </c>
      <c r="J113" s="37">
        <f t="shared" si="158"/>
        <v>0</v>
      </c>
      <c r="K113" s="79" t="s">
        <v>223</v>
      </c>
      <c r="Z113" s="37">
        <f t="shared" si="159"/>
        <v>0</v>
      </c>
      <c r="AB113" s="37">
        <f t="shared" si="160"/>
        <v>0</v>
      </c>
      <c r="AC113" s="37">
        <f t="shared" si="161"/>
        <v>0</v>
      </c>
      <c r="AD113" s="37">
        <f t="shared" si="162"/>
        <v>0</v>
      </c>
      <c r="AE113" s="37">
        <f t="shared" si="163"/>
        <v>0</v>
      </c>
      <c r="AF113" s="37">
        <f t="shared" si="164"/>
        <v>0</v>
      </c>
      <c r="AG113" s="37">
        <f t="shared" si="165"/>
        <v>0</v>
      </c>
      <c r="AH113" s="37">
        <f t="shared" si="166"/>
        <v>0</v>
      </c>
      <c r="AI113" s="49" t="s">
        <v>89</v>
      </c>
      <c r="AJ113" s="37">
        <f t="shared" si="167"/>
        <v>0</v>
      </c>
      <c r="AK113" s="37">
        <f t="shared" si="168"/>
        <v>0</v>
      </c>
      <c r="AL113" s="37">
        <f t="shared" si="169"/>
        <v>0</v>
      </c>
      <c r="AN113" s="37">
        <v>21</v>
      </c>
      <c r="AO113" s="37">
        <f>G113*0.334912866</f>
        <v>0</v>
      </c>
      <c r="AP113" s="37">
        <f>G113*(1-0.334912866)</f>
        <v>0</v>
      </c>
      <c r="AQ113" s="72" t="s">
        <v>219</v>
      </c>
      <c r="AV113" s="37">
        <f t="shared" si="170"/>
        <v>0</v>
      </c>
      <c r="AW113" s="37">
        <f t="shared" si="171"/>
        <v>0</v>
      </c>
      <c r="AX113" s="37">
        <f t="shared" si="172"/>
        <v>0</v>
      </c>
      <c r="AY113" s="72" t="s">
        <v>469</v>
      </c>
      <c r="AZ113" s="72" t="s">
        <v>453</v>
      </c>
      <c r="BA113" s="49" t="s">
        <v>226</v>
      </c>
      <c r="BC113" s="37">
        <f t="shared" si="173"/>
        <v>0</v>
      </c>
      <c r="BD113" s="37">
        <f t="shared" si="174"/>
        <v>0</v>
      </c>
      <c r="BE113" s="37">
        <v>0</v>
      </c>
      <c r="BF113" s="37">
        <f>113</f>
        <v>113</v>
      </c>
      <c r="BH113" s="37">
        <f t="shared" si="175"/>
        <v>0</v>
      </c>
      <c r="BI113" s="37">
        <f t="shared" si="176"/>
        <v>0</v>
      </c>
      <c r="BJ113" s="37">
        <f t="shared" si="177"/>
        <v>0</v>
      </c>
      <c r="BK113" s="37"/>
      <c r="BL113" s="37">
        <v>62</v>
      </c>
      <c r="BW113" s="37">
        <v>21</v>
      </c>
      <c r="BX113" s="3" t="s">
        <v>480</v>
      </c>
    </row>
    <row r="114" spans="1:76" x14ac:dyDescent="0.25">
      <c r="A114" s="1" t="s">
        <v>481</v>
      </c>
      <c r="B114" s="2" t="s">
        <v>482</v>
      </c>
      <c r="C114" s="279" t="s">
        <v>483</v>
      </c>
      <c r="D114" s="280"/>
      <c r="E114" s="2" t="s">
        <v>249</v>
      </c>
      <c r="F114" s="37">
        <v>60.866610000000001</v>
      </c>
      <c r="G114" s="78">
        <v>0</v>
      </c>
      <c r="H114" s="37">
        <f t="shared" si="156"/>
        <v>0</v>
      </c>
      <c r="I114" s="37">
        <f t="shared" si="157"/>
        <v>0</v>
      </c>
      <c r="J114" s="37">
        <f t="shared" si="158"/>
        <v>0</v>
      </c>
      <c r="K114" s="79" t="s">
        <v>223</v>
      </c>
      <c r="Z114" s="37">
        <f t="shared" si="159"/>
        <v>0</v>
      </c>
      <c r="AB114" s="37">
        <f t="shared" si="160"/>
        <v>0</v>
      </c>
      <c r="AC114" s="37">
        <f t="shared" si="161"/>
        <v>0</v>
      </c>
      <c r="AD114" s="37">
        <f t="shared" si="162"/>
        <v>0</v>
      </c>
      <c r="AE114" s="37">
        <f t="shared" si="163"/>
        <v>0</v>
      </c>
      <c r="AF114" s="37">
        <f t="shared" si="164"/>
        <v>0</v>
      </c>
      <c r="AG114" s="37">
        <f t="shared" si="165"/>
        <v>0</v>
      </c>
      <c r="AH114" s="37">
        <f t="shared" si="166"/>
        <v>0</v>
      </c>
      <c r="AI114" s="49" t="s">
        <v>89</v>
      </c>
      <c r="AJ114" s="37">
        <f t="shared" si="167"/>
        <v>0</v>
      </c>
      <c r="AK114" s="37">
        <f t="shared" si="168"/>
        <v>0</v>
      </c>
      <c r="AL114" s="37">
        <f t="shared" si="169"/>
        <v>0</v>
      </c>
      <c r="AN114" s="37">
        <v>21</v>
      </c>
      <c r="AO114" s="37">
        <f>G114*0.257793882</f>
        <v>0</v>
      </c>
      <c r="AP114" s="37">
        <f>G114*(1-0.257793882)</f>
        <v>0</v>
      </c>
      <c r="AQ114" s="72" t="s">
        <v>219</v>
      </c>
      <c r="AV114" s="37">
        <f t="shared" si="170"/>
        <v>0</v>
      </c>
      <c r="AW114" s="37">
        <f t="shared" si="171"/>
        <v>0</v>
      </c>
      <c r="AX114" s="37">
        <f t="shared" si="172"/>
        <v>0</v>
      </c>
      <c r="AY114" s="72" t="s">
        <v>469</v>
      </c>
      <c r="AZ114" s="72" t="s">
        <v>453</v>
      </c>
      <c r="BA114" s="49" t="s">
        <v>226</v>
      </c>
      <c r="BC114" s="37">
        <f t="shared" si="173"/>
        <v>0</v>
      </c>
      <c r="BD114" s="37">
        <f t="shared" si="174"/>
        <v>0</v>
      </c>
      <c r="BE114" s="37">
        <v>0</v>
      </c>
      <c r="BF114" s="37">
        <f>114</f>
        <v>114</v>
      </c>
      <c r="BH114" s="37">
        <f t="shared" si="175"/>
        <v>0</v>
      </c>
      <c r="BI114" s="37">
        <f t="shared" si="176"/>
        <v>0</v>
      </c>
      <c r="BJ114" s="37">
        <f t="shared" si="177"/>
        <v>0</v>
      </c>
      <c r="BK114" s="37"/>
      <c r="BL114" s="37">
        <v>62</v>
      </c>
      <c r="BW114" s="37">
        <v>21</v>
      </c>
      <c r="BX114" s="3" t="s">
        <v>483</v>
      </c>
    </row>
    <row r="115" spans="1:76" x14ac:dyDescent="0.25">
      <c r="A115" s="1" t="s">
        <v>484</v>
      </c>
      <c r="B115" s="2" t="s">
        <v>485</v>
      </c>
      <c r="C115" s="279" t="s">
        <v>486</v>
      </c>
      <c r="D115" s="280"/>
      <c r="E115" s="2" t="s">
        <v>249</v>
      </c>
      <c r="F115" s="37">
        <v>202.8887</v>
      </c>
      <c r="G115" s="78">
        <v>0</v>
      </c>
      <c r="H115" s="37">
        <f t="shared" si="156"/>
        <v>0</v>
      </c>
      <c r="I115" s="37">
        <f t="shared" si="157"/>
        <v>0</v>
      </c>
      <c r="J115" s="37">
        <f t="shared" si="158"/>
        <v>0</v>
      </c>
      <c r="K115" s="79" t="s">
        <v>223</v>
      </c>
      <c r="Z115" s="37">
        <f t="shared" si="159"/>
        <v>0</v>
      </c>
      <c r="AB115" s="37">
        <f t="shared" si="160"/>
        <v>0</v>
      </c>
      <c r="AC115" s="37">
        <f t="shared" si="161"/>
        <v>0</v>
      </c>
      <c r="AD115" s="37">
        <f t="shared" si="162"/>
        <v>0</v>
      </c>
      <c r="AE115" s="37">
        <f t="shared" si="163"/>
        <v>0</v>
      </c>
      <c r="AF115" s="37">
        <f t="shared" si="164"/>
        <v>0</v>
      </c>
      <c r="AG115" s="37">
        <f t="shared" si="165"/>
        <v>0</v>
      </c>
      <c r="AH115" s="37">
        <f t="shared" si="166"/>
        <v>0</v>
      </c>
      <c r="AI115" s="49" t="s">
        <v>89</v>
      </c>
      <c r="AJ115" s="37">
        <f t="shared" si="167"/>
        <v>0</v>
      </c>
      <c r="AK115" s="37">
        <f t="shared" si="168"/>
        <v>0</v>
      </c>
      <c r="AL115" s="37">
        <f t="shared" si="169"/>
        <v>0</v>
      </c>
      <c r="AN115" s="37">
        <v>21</v>
      </c>
      <c r="AO115" s="37">
        <f>G115*0.073294637</f>
        <v>0</v>
      </c>
      <c r="AP115" s="37">
        <f>G115*(1-0.073294637)</f>
        <v>0</v>
      </c>
      <c r="AQ115" s="72" t="s">
        <v>219</v>
      </c>
      <c r="AV115" s="37">
        <f t="shared" si="170"/>
        <v>0</v>
      </c>
      <c r="AW115" s="37">
        <f t="shared" si="171"/>
        <v>0</v>
      </c>
      <c r="AX115" s="37">
        <f t="shared" si="172"/>
        <v>0</v>
      </c>
      <c r="AY115" s="72" t="s">
        <v>469</v>
      </c>
      <c r="AZ115" s="72" t="s">
        <v>453</v>
      </c>
      <c r="BA115" s="49" t="s">
        <v>226</v>
      </c>
      <c r="BC115" s="37">
        <f t="shared" si="173"/>
        <v>0</v>
      </c>
      <c r="BD115" s="37">
        <f t="shared" si="174"/>
        <v>0</v>
      </c>
      <c r="BE115" s="37">
        <v>0</v>
      </c>
      <c r="BF115" s="37">
        <f>115</f>
        <v>115</v>
      </c>
      <c r="BH115" s="37">
        <f t="shared" si="175"/>
        <v>0</v>
      </c>
      <c r="BI115" s="37">
        <f t="shared" si="176"/>
        <v>0</v>
      </c>
      <c r="BJ115" s="37">
        <f t="shared" si="177"/>
        <v>0</v>
      </c>
      <c r="BK115" s="37"/>
      <c r="BL115" s="37">
        <v>62</v>
      </c>
      <c r="BW115" s="37">
        <v>21</v>
      </c>
      <c r="BX115" s="3" t="s">
        <v>486</v>
      </c>
    </row>
    <row r="116" spans="1:76" x14ac:dyDescent="0.25">
      <c r="A116" s="1" t="s">
        <v>167</v>
      </c>
      <c r="B116" s="2" t="s">
        <v>487</v>
      </c>
      <c r="C116" s="279" t="s">
        <v>488</v>
      </c>
      <c r="D116" s="280"/>
      <c r="E116" s="2" t="s">
        <v>333</v>
      </c>
      <c r="F116" s="37">
        <v>68.87</v>
      </c>
      <c r="G116" s="78">
        <v>0</v>
      </c>
      <c r="H116" s="37">
        <f t="shared" si="156"/>
        <v>0</v>
      </c>
      <c r="I116" s="37">
        <f t="shared" si="157"/>
        <v>0</v>
      </c>
      <c r="J116" s="37">
        <f t="shared" si="158"/>
        <v>0</v>
      </c>
      <c r="K116" s="79" t="s">
        <v>223</v>
      </c>
      <c r="Z116" s="37">
        <f t="shared" si="159"/>
        <v>0</v>
      </c>
      <c r="AB116" s="37">
        <f t="shared" si="160"/>
        <v>0</v>
      </c>
      <c r="AC116" s="37">
        <f t="shared" si="161"/>
        <v>0</v>
      </c>
      <c r="AD116" s="37">
        <f t="shared" si="162"/>
        <v>0</v>
      </c>
      <c r="AE116" s="37">
        <f t="shared" si="163"/>
        <v>0</v>
      </c>
      <c r="AF116" s="37">
        <f t="shared" si="164"/>
        <v>0</v>
      </c>
      <c r="AG116" s="37">
        <f t="shared" si="165"/>
        <v>0</v>
      </c>
      <c r="AH116" s="37">
        <f t="shared" si="166"/>
        <v>0</v>
      </c>
      <c r="AI116" s="49" t="s">
        <v>89</v>
      </c>
      <c r="AJ116" s="37">
        <f t="shared" si="167"/>
        <v>0</v>
      </c>
      <c r="AK116" s="37">
        <f t="shared" si="168"/>
        <v>0</v>
      </c>
      <c r="AL116" s="37">
        <f t="shared" si="169"/>
        <v>0</v>
      </c>
      <c r="AN116" s="37">
        <v>21</v>
      </c>
      <c r="AO116" s="37">
        <f>G116*0.511443139</f>
        <v>0</v>
      </c>
      <c r="AP116" s="37">
        <f>G116*(1-0.511443139)</f>
        <v>0</v>
      </c>
      <c r="AQ116" s="72" t="s">
        <v>219</v>
      </c>
      <c r="AV116" s="37">
        <f t="shared" si="170"/>
        <v>0</v>
      </c>
      <c r="AW116" s="37">
        <f t="shared" si="171"/>
        <v>0</v>
      </c>
      <c r="AX116" s="37">
        <f t="shared" si="172"/>
        <v>0</v>
      </c>
      <c r="AY116" s="72" t="s">
        <v>469</v>
      </c>
      <c r="AZ116" s="72" t="s">
        <v>453</v>
      </c>
      <c r="BA116" s="49" t="s">
        <v>226</v>
      </c>
      <c r="BC116" s="37">
        <f t="shared" si="173"/>
        <v>0</v>
      </c>
      <c r="BD116" s="37">
        <f t="shared" si="174"/>
        <v>0</v>
      </c>
      <c r="BE116" s="37">
        <v>0</v>
      </c>
      <c r="BF116" s="37">
        <f>116</f>
        <v>116</v>
      </c>
      <c r="BH116" s="37">
        <f t="shared" si="175"/>
        <v>0</v>
      </c>
      <c r="BI116" s="37">
        <f t="shared" si="176"/>
        <v>0</v>
      </c>
      <c r="BJ116" s="37">
        <f t="shared" si="177"/>
        <v>0</v>
      </c>
      <c r="BK116" s="37"/>
      <c r="BL116" s="37">
        <v>62</v>
      </c>
      <c r="BW116" s="37">
        <v>21</v>
      </c>
      <c r="BX116" s="3" t="s">
        <v>488</v>
      </c>
    </row>
    <row r="117" spans="1:76" x14ac:dyDescent="0.25">
      <c r="A117" s="1" t="s">
        <v>489</v>
      </c>
      <c r="B117" s="2" t="s">
        <v>490</v>
      </c>
      <c r="C117" s="279" t="s">
        <v>491</v>
      </c>
      <c r="D117" s="280"/>
      <c r="E117" s="2" t="s">
        <v>333</v>
      </c>
      <c r="F117" s="37">
        <v>6.1</v>
      </c>
      <c r="G117" s="78">
        <v>0</v>
      </c>
      <c r="H117" s="37">
        <f t="shared" si="156"/>
        <v>0</v>
      </c>
      <c r="I117" s="37">
        <f t="shared" si="157"/>
        <v>0</v>
      </c>
      <c r="J117" s="37">
        <f t="shared" si="158"/>
        <v>0</v>
      </c>
      <c r="K117" s="79" t="s">
        <v>223</v>
      </c>
      <c r="Z117" s="37">
        <f t="shared" si="159"/>
        <v>0</v>
      </c>
      <c r="AB117" s="37">
        <f t="shared" si="160"/>
        <v>0</v>
      </c>
      <c r="AC117" s="37">
        <f t="shared" si="161"/>
        <v>0</v>
      </c>
      <c r="AD117" s="37">
        <f t="shared" si="162"/>
        <v>0</v>
      </c>
      <c r="AE117" s="37">
        <f t="shared" si="163"/>
        <v>0</v>
      </c>
      <c r="AF117" s="37">
        <f t="shared" si="164"/>
        <v>0</v>
      </c>
      <c r="AG117" s="37">
        <f t="shared" si="165"/>
        <v>0</v>
      </c>
      <c r="AH117" s="37">
        <f t="shared" si="166"/>
        <v>0</v>
      </c>
      <c r="AI117" s="49" t="s">
        <v>89</v>
      </c>
      <c r="AJ117" s="37">
        <f t="shared" si="167"/>
        <v>0</v>
      </c>
      <c r="AK117" s="37">
        <f t="shared" si="168"/>
        <v>0</v>
      </c>
      <c r="AL117" s="37">
        <f t="shared" si="169"/>
        <v>0</v>
      </c>
      <c r="AN117" s="37">
        <v>21</v>
      </c>
      <c r="AO117" s="37">
        <f>G117*0.720346457</f>
        <v>0</v>
      </c>
      <c r="AP117" s="37">
        <f>G117*(1-0.720346457)</f>
        <v>0</v>
      </c>
      <c r="AQ117" s="72" t="s">
        <v>219</v>
      </c>
      <c r="AV117" s="37">
        <f t="shared" si="170"/>
        <v>0</v>
      </c>
      <c r="AW117" s="37">
        <f t="shared" si="171"/>
        <v>0</v>
      </c>
      <c r="AX117" s="37">
        <f t="shared" si="172"/>
        <v>0</v>
      </c>
      <c r="AY117" s="72" t="s">
        <v>469</v>
      </c>
      <c r="AZ117" s="72" t="s">
        <v>453</v>
      </c>
      <c r="BA117" s="49" t="s">
        <v>226</v>
      </c>
      <c r="BC117" s="37">
        <f t="shared" si="173"/>
        <v>0</v>
      </c>
      <c r="BD117" s="37">
        <f t="shared" si="174"/>
        <v>0</v>
      </c>
      <c r="BE117" s="37">
        <v>0</v>
      </c>
      <c r="BF117" s="37">
        <f>117</f>
        <v>117</v>
      </c>
      <c r="BH117" s="37">
        <f t="shared" si="175"/>
        <v>0</v>
      </c>
      <c r="BI117" s="37">
        <f t="shared" si="176"/>
        <v>0</v>
      </c>
      <c r="BJ117" s="37">
        <f t="shared" si="177"/>
        <v>0</v>
      </c>
      <c r="BK117" s="37"/>
      <c r="BL117" s="37">
        <v>62</v>
      </c>
      <c r="BW117" s="37">
        <v>21</v>
      </c>
      <c r="BX117" s="3" t="s">
        <v>491</v>
      </c>
    </row>
    <row r="118" spans="1:76" x14ac:dyDescent="0.25">
      <c r="A118" s="80" t="s">
        <v>4</v>
      </c>
      <c r="B118" s="81" t="s">
        <v>125</v>
      </c>
      <c r="C118" s="365" t="s">
        <v>126</v>
      </c>
      <c r="D118" s="366"/>
      <c r="E118" s="82" t="s">
        <v>81</v>
      </c>
      <c r="F118" s="82" t="s">
        <v>81</v>
      </c>
      <c r="G118" s="83" t="s">
        <v>81</v>
      </c>
      <c r="H118" s="43">
        <f>SUM(H119:H124)</f>
        <v>0</v>
      </c>
      <c r="I118" s="43">
        <f>SUM(I119:I124)</f>
        <v>0</v>
      </c>
      <c r="J118" s="43">
        <f>SUM(J119:J124)</f>
        <v>0</v>
      </c>
      <c r="K118" s="84" t="s">
        <v>4</v>
      </c>
      <c r="AI118" s="49" t="s">
        <v>89</v>
      </c>
      <c r="AS118" s="43">
        <f>SUM(AJ119:AJ124)</f>
        <v>0</v>
      </c>
      <c r="AT118" s="43">
        <f>SUM(AK119:AK124)</f>
        <v>0</v>
      </c>
      <c r="AU118" s="43">
        <f>SUM(AL119:AL124)</f>
        <v>0</v>
      </c>
    </row>
    <row r="119" spans="1:76" x14ac:dyDescent="0.25">
      <c r="A119" s="1" t="s">
        <v>169</v>
      </c>
      <c r="B119" s="2" t="s">
        <v>492</v>
      </c>
      <c r="C119" s="279" t="s">
        <v>493</v>
      </c>
      <c r="D119" s="280"/>
      <c r="E119" s="2" t="s">
        <v>249</v>
      </c>
      <c r="F119" s="37">
        <v>61.19</v>
      </c>
      <c r="G119" s="78">
        <v>0</v>
      </c>
      <c r="H119" s="37">
        <f t="shared" ref="H119:H124" si="178">F119*AO119</f>
        <v>0</v>
      </c>
      <c r="I119" s="37">
        <f t="shared" ref="I119:I124" si="179">F119*AP119</f>
        <v>0</v>
      </c>
      <c r="J119" s="37">
        <f t="shared" ref="J119:J124" si="180">F119*G119</f>
        <v>0</v>
      </c>
      <c r="K119" s="79" t="s">
        <v>223</v>
      </c>
      <c r="Z119" s="37">
        <f t="shared" ref="Z119:Z124" si="181">IF(AQ119="5",BJ119,0)</f>
        <v>0</v>
      </c>
      <c r="AB119" s="37">
        <f t="shared" ref="AB119:AB124" si="182">IF(AQ119="1",BH119,0)</f>
        <v>0</v>
      </c>
      <c r="AC119" s="37">
        <f t="shared" ref="AC119:AC124" si="183">IF(AQ119="1",BI119,0)</f>
        <v>0</v>
      </c>
      <c r="AD119" s="37">
        <f t="shared" ref="AD119:AD124" si="184">IF(AQ119="7",BH119,0)</f>
        <v>0</v>
      </c>
      <c r="AE119" s="37">
        <f t="shared" ref="AE119:AE124" si="185">IF(AQ119="7",BI119,0)</f>
        <v>0</v>
      </c>
      <c r="AF119" s="37">
        <f t="shared" ref="AF119:AF124" si="186">IF(AQ119="2",BH119,0)</f>
        <v>0</v>
      </c>
      <c r="AG119" s="37">
        <f t="shared" ref="AG119:AG124" si="187">IF(AQ119="2",BI119,0)</f>
        <v>0</v>
      </c>
      <c r="AH119" s="37">
        <f t="shared" ref="AH119:AH124" si="188">IF(AQ119="0",BJ119,0)</f>
        <v>0</v>
      </c>
      <c r="AI119" s="49" t="s">
        <v>89</v>
      </c>
      <c r="AJ119" s="37">
        <f t="shared" ref="AJ119:AJ124" si="189">IF(AN119=0,J119,0)</f>
        <v>0</v>
      </c>
      <c r="AK119" s="37">
        <f t="shared" ref="AK119:AK124" si="190">IF(AN119=12,J119,0)</f>
        <v>0</v>
      </c>
      <c r="AL119" s="37">
        <f t="shared" ref="AL119:AL124" si="191">IF(AN119=21,J119,0)</f>
        <v>0</v>
      </c>
      <c r="AN119" s="37">
        <v>21</v>
      </c>
      <c r="AO119" s="37">
        <f>G119*0.774379786</f>
        <v>0</v>
      </c>
      <c r="AP119" s="37">
        <f>G119*(1-0.774379786)</f>
        <v>0</v>
      </c>
      <c r="AQ119" s="72" t="s">
        <v>219</v>
      </c>
      <c r="AV119" s="37">
        <f t="shared" ref="AV119:AV124" si="192">AW119+AX119</f>
        <v>0</v>
      </c>
      <c r="AW119" s="37">
        <f t="shared" ref="AW119:AW124" si="193">F119*AO119</f>
        <v>0</v>
      </c>
      <c r="AX119" s="37">
        <f t="shared" ref="AX119:AX124" si="194">F119*AP119</f>
        <v>0</v>
      </c>
      <c r="AY119" s="72" t="s">
        <v>494</v>
      </c>
      <c r="AZ119" s="72" t="s">
        <v>453</v>
      </c>
      <c r="BA119" s="49" t="s">
        <v>226</v>
      </c>
      <c r="BC119" s="37">
        <f t="shared" ref="BC119:BC124" si="195">AW119+AX119</f>
        <v>0</v>
      </c>
      <c r="BD119" s="37">
        <f t="shared" ref="BD119:BD124" si="196">G119/(100-BE119)*100</f>
        <v>0</v>
      </c>
      <c r="BE119" s="37">
        <v>0</v>
      </c>
      <c r="BF119" s="37">
        <f>119</f>
        <v>119</v>
      </c>
      <c r="BH119" s="37">
        <f t="shared" ref="BH119:BH124" si="197">F119*AO119</f>
        <v>0</v>
      </c>
      <c r="BI119" s="37">
        <f t="shared" ref="BI119:BI124" si="198">F119*AP119</f>
        <v>0</v>
      </c>
      <c r="BJ119" s="37">
        <f t="shared" ref="BJ119:BJ124" si="199">F119*G119</f>
        <v>0</v>
      </c>
      <c r="BK119" s="37"/>
      <c r="BL119" s="37">
        <v>63</v>
      </c>
      <c r="BW119" s="37">
        <v>21</v>
      </c>
      <c r="BX119" s="3" t="s">
        <v>493</v>
      </c>
    </row>
    <row r="120" spans="1:76" x14ac:dyDescent="0.25">
      <c r="A120" s="1" t="s">
        <v>495</v>
      </c>
      <c r="B120" s="2" t="s">
        <v>496</v>
      </c>
      <c r="C120" s="279" t="s">
        <v>497</v>
      </c>
      <c r="D120" s="280"/>
      <c r="E120" s="2" t="s">
        <v>249</v>
      </c>
      <c r="F120" s="37">
        <v>38.75</v>
      </c>
      <c r="G120" s="78">
        <v>0</v>
      </c>
      <c r="H120" s="37">
        <f t="shared" si="178"/>
        <v>0</v>
      </c>
      <c r="I120" s="37">
        <f t="shared" si="179"/>
        <v>0</v>
      </c>
      <c r="J120" s="37">
        <f t="shared" si="180"/>
        <v>0</v>
      </c>
      <c r="K120" s="79" t="s">
        <v>223</v>
      </c>
      <c r="Z120" s="37">
        <f t="shared" si="181"/>
        <v>0</v>
      </c>
      <c r="AB120" s="37">
        <f t="shared" si="182"/>
        <v>0</v>
      </c>
      <c r="AC120" s="37">
        <f t="shared" si="183"/>
        <v>0</v>
      </c>
      <c r="AD120" s="37">
        <f t="shared" si="184"/>
        <v>0</v>
      </c>
      <c r="AE120" s="37">
        <f t="shared" si="185"/>
        <v>0</v>
      </c>
      <c r="AF120" s="37">
        <f t="shared" si="186"/>
        <v>0</v>
      </c>
      <c r="AG120" s="37">
        <f t="shared" si="187"/>
        <v>0</v>
      </c>
      <c r="AH120" s="37">
        <f t="shared" si="188"/>
        <v>0</v>
      </c>
      <c r="AI120" s="49" t="s">
        <v>89</v>
      </c>
      <c r="AJ120" s="37">
        <f t="shared" si="189"/>
        <v>0</v>
      </c>
      <c r="AK120" s="37">
        <f t="shared" si="190"/>
        <v>0</v>
      </c>
      <c r="AL120" s="37">
        <f t="shared" si="191"/>
        <v>0</v>
      </c>
      <c r="AN120" s="37">
        <v>21</v>
      </c>
      <c r="AO120" s="37">
        <f>G120*0.211902985</f>
        <v>0</v>
      </c>
      <c r="AP120" s="37">
        <f>G120*(1-0.211902985)</f>
        <v>0</v>
      </c>
      <c r="AQ120" s="72" t="s">
        <v>219</v>
      </c>
      <c r="AV120" s="37">
        <f t="shared" si="192"/>
        <v>0</v>
      </c>
      <c r="AW120" s="37">
        <f t="shared" si="193"/>
        <v>0</v>
      </c>
      <c r="AX120" s="37">
        <f t="shared" si="194"/>
        <v>0</v>
      </c>
      <c r="AY120" s="72" t="s">
        <v>494</v>
      </c>
      <c r="AZ120" s="72" t="s">
        <v>453</v>
      </c>
      <c r="BA120" s="49" t="s">
        <v>226</v>
      </c>
      <c r="BC120" s="37">
        <f t="shared" si="195"/>
        <v>0</v>
      </c>
      <c r="BD120" s="37">
        <f t="shared" si="196"/>
        <v>0</v>
      </c>
      <c r="BE120" s="37">
        <v>0</v>
      </c>
      <c r="BF120" s="37">
        <f>120</f>
        <v>120</v>
      </c>
      <c r="BH120" s="37">
        <f t="shared" si="197"/>
        <v>0</v>
      </c>
      <c r="BI120" s="37">
        <f t="shared" si="198"/>
        <v>0</v>
      </c>
      <c r="BJ120" s="37">
        <f t="shared" si="199"/>
        <v>0</v>
      </c>
      <c r="BK120" s="37"/>
      <c r="BL120" s="37">
        <v>63</v>
      </c>
      <c r="BW120" s="37">
        <v>21</v>
      </c>
      <c r="BX120" s="3" t="s">
        <v>497</v>
      </c>
    </row>
    <row r="121" spans="1:76" x14ac:dyDescent="0.25">
      <c r="A121" s="1" t="s">
        <v>171</v>
      </c>
      <c r="B121" s="2" t="s">
        <v>498</v>
      </c>
      <c r="C121" s="279" t="s">
        <v>499</v>
      </c>
      <c r="D121" s="280"/>
      <c r="E121" s="2" t="s">
        <v>249</v>
      </c>
      <c r="F121" s="37">
        <v>158.09</v>
      </c>
      <c r="G121" s="78">
        <v>0</v>
      </c>
      <c r="H121" s="37">
        <f t="shared" si="178"/>
        <v>0</v>
      </c>
      <c r="I121" s="37">
        <f t="shared" si="179"/>
        <v>0</v>
      </c>
      <c r="J121" s="37">
        <f t="shared" si="180"/>
        <v>0</v>
      </c>
      <c r="K121" s="79" t="s">
        <v>223</v>
      </c>
      <c r="Z121" s="37">
        <f t="shared" si="181"/>
        <v>0</v>
      </c>
      <c r="AB121" s="37">
        <f t="shared" si="182"/>
        <v>0</v>
      </c>
      <c r="AC121" s="37">
        <f t="shared" si="183"/>
        <v>0</v>
      </c>
      <c r="AD121" s="37">
        <f t="shared" si="184"/>
        <v>0</v>
      </c>
      <c r="AE121" s="37">
        <f t="shared" si="185"/>
        <v>0</v>
      </c>
      <c r="AF121" s="37">
        <f t="shared" si="186"/>
        <v>0</v>
      </c>
      <c r="AG121" s="37">
        <f t="shared" si="187"/>
        <v>0</v>
      </c>
      <c r="AH121" s="37">
        <f t="shared" si="188"/>
        <v>0</v>
      </c>
      <c r="AI121" s="49" t="s">
        <v>89</v>
      </c>
      <c r="AJ121" s="37">
        <f t="shared" si="189"/>
        <v>0</v>
      </c>
      <c r="AK121" s="37">
        <f t="shared" si="190"/>
        <v>0</v>
      </c>
      <c r="AL121" s="37">
        <f t="shared" si="191"/>
        <v>0</v>
      </c>
      <c r="AN121" s="37">
        <v>21</v>
      </c>
      <c r="AO121" s="37">
        <f>G121*0.807185484</f>
        <v>0</v>
      </c>
      <c r="AP121" s="37">
        <f>G121*(1-0.807185484)</f>
        <v>0</v>
      </c>
      <c r="AQ121" s="72" t="s">
        <v>219</v>
      </c>
      <c r="AV121" s="37">
        <f t="shared" si="192"/>
        <v>0</v>
      </c>
      <c r="AW121" s="37">
        <f t="shared" si="193"/>
        <v>0</v>
      </c>
      <c r="AX121" s="37">
        <f t="shared" si="194"/>
        <v>0</v>
      </c>
      <c r="AY121" s="72" t="s">
        <v>494</v>
      </c>
      <c r="AZ121" s="72" t="s">
        <v>453</v>
      </c>
      <c r="BA121" s="49" t="s">
        <v>226</v>
      </c>
      <c r="BC121" s="37">
        <f t="shared" si="195"/>
        <v>0</v>
      </c>
      <c r="BD121" s="37">
        <f t="shared" si="196"/>
        <v>0</v>
      </c>
      <c r="BE121" s="37">
        <v>0</v>
      </c>
      <c r="BF121" s="37">
        <f>121</f>
        <v>121</v>
      </c>
      <c r="BH121" s="37">
        <f t="shared" si="197"/>
        <v>0</v>
      </c>
      <c r="BI121" s="37">
        <f t="shared" si="198"/>
        <v>0</v>
      </c>
      <c r="BJ121" s="37">
        <f t="shared" si="199"/>
        <v>0</v>
      </c>
      <c r="BK121" s="37"/>
      <c r="BL121" s="37">
        <v>63</v>
      </c>
      <c r="BW121" s="37">
        <v>21</v>
      </c>
      <c r="BX121" s="3" t="s">
        <v>499</v>
      </c>
    </row>
    <row r="122" spans="1:76" x14ac:dyDescent="0.25">
      <c r="A122" s="1" t="s">
        <v>500</v>
      </c>
      <c r="B122" s="2" t="s">
        <v>501</v>
      </c>
      <c r="C122" s="279" t="s">
        <v>502</v>
      </c>
      <c r="D122" s="280"/>
      <c r="E122" s="2" t="s">
        <v>222</v>
      </c>
      <c r="F122" s="37">
        <v>5.8094999999999999</v>
      </c>
      <c r="G122" s="78">
        <v>0</v>
      </c>
      <c r="H122" s="37">
        <f t="shared" si="178"/>
        <v>0</v>
      </c>
      <c r="I122" s="37">
        <f t="shared" si="179"/>
        <v>0</v>
      </c>
      <c r="J122" s="37">
        <f t="shared" si="180"/>
        <v>0</v>
      </c>
      <c r="K122" s="79" t="s">
        <v>223</v>
      </c>
      <c r="Z122" s="37">
        <f t="shared" si="181"/>
        <v>0</v>
      </c>
      <c r="AB122" s="37">
        <f t="shared" si="182"/>
        <v>0</v>
      </c>
      <c r="AC122" s="37">
        <f t="shared" si="183"/>
        <v>0</v>
      </c>
      <c r="AD122" s="37">
        <f t="shared" si="184"/>
        <v>0</v>
      </c>
      <c r="AE122" s="37">
        <f t="shared" si="185"/>
        <v>0</v>
      </c>
      <c r="AF122" s="37">
        <f t="shared" si="186"/>
        <v>0</v>
      </c>
      <c r="AG122" s="37">
        <f t="shared" si="187"/>
        <v>0</v>
      </c>
      <c r="AH122" s="37">
        <f t="shared" si="188"/>
        <v>0</v>
      </c>
      <c r="AI122" s="49" t="s">
        <v>89</v>
      </c>
      <c r="AJ122" s="37">
        <f t="shared" si="189"/>
        <v>0</v>
      </c>
      <c r="AK122" s="37">
        <f t="shared" si="190"/>
        <v>0</v>
      </c>
      <c r="AL122" s="37">
        <f t="shared" si="191"/>
        <v>0</v>
      </c>
      <c r="AN122" s="37">
        <v>21</v>
      </c>
      <c r="AO122" s="37">
        <f>G122*0.700131588</f>
        <v>0</v>
      </c>
      <c r="AP122" s="37">
        <f>G122*(1-0.700131588)</f>
        <v>0</v>
      </c>
      <c r="AQ122" s="72" t="s">
        <v>219</v>
      </c>
      <c r="AV122" s="37">
        <f t="shared" si="192"/>
        <v>0</v>
      </c>
      <c r="AW122" s="37">
        <f t="shared" si="193"/>
        <v>0</v>
      </c>
      <c r="AX122" s="37">
        <f t="shared" si="194"/>
        <v>0</v>
      </c>
      <c r="AY122" s="72" t="s">
        <v>494</v>
      </c>
      <c r="AZ122" s="72" t="s">
        <v>453</v>
      </c>
      <c r="BA122" s="49" t="s">
        <v>226</v>
      </c>
      <c r="BC122" s="37">
        <f t="shared" si="195"/>
        <v>0</v>
      </c>
      <c r="BD122" s="37">
        <f t="shared" si="196"/>
        <v>0</v>
      </c>
      <c r="BE122" s="37">
        <v>0</v>
      </c>
      <c r="BF122" s="37">
        <f>122</f>
        <v>122</v>
      </c>
      <c r="BH122" s="37">
        <f t="shared" si="197"/>
        <v>0</v>
      </c>
      <c r="BI122" s="37">
        <f t="shared" si="198"/>
        <v>0</v>
      </c>
      <c r="BJ122" s="37">
        <f t="shared" si="199"/>
        <v>0</v>
      </c>
      <c r="BK122" s="37"/>
      <c r="BL122" s="37">
        <v>63</v>
      </c>
      <c r="BW122" s="37">
        <v>21</v>
      </c>
      <c r="BX122" s="3" t="s">
        <v>502</v>
      </c>
    </row>
    <row r="123" spans="1:76" x14ac:dyDescent="0.25">
      <c r="A123" s="1" t="s">
        <v>503</v>
      </c>
      <c r="B123" s="2" t="s">
        <v>504</v>
      </c>
      <c r="C123" s="279" t="s">
        <v>505</v>
      </c>
      <c r="D123" s="280"/>
      <c r="E123" s="2" t="s">
        <v>296</v>
      </c>
      <c r="F123" s="37">
        <v>0.20238999999999999</v>
      </c>
      <c r="G123" s="78">
        <v>0</v>
      </c>
      <c r="H123" s="37">
        <f t="shared" si="178"/>
        <v>0</v>
      </c>
      <c r="I123" s="37">
        <f t="shared" si="179"/>
        <v>0</v>
      </c>
      <c r="J123" s="37">
        <f t="shared" si="180"/>
        <v>0</v>
      </c>
      <c r="K123" s="79" t="s">
        <v>223</v>
      </c>
      <c r="Z123" s="37">
        <f t="shared" si="181"/>
        <v>0</v>
      </c>
      <c r="AB123" s="37">
        <f t="shared" si="182"/>
        <v>0</v>
      </c>
      <c r="AC123" s="37">
        <f t="shared" si="183"/>
        <v>0</v>
      </c>
      <c r="AD123" s="37">
        <f t="shared" si="184"/>
        <v>0</v>
      </c>
      <c r="AE123" s="37">
        <f t="shared" si="185"/>
        <v>0</v>
      </c>
      <c r="AF123" s="37">
        <f t="shared" si="186"/>
        <v>0</v>
      </c>
      <c r="AG123" s="37">
        <f t="shared" si="187"/>
        <v>0</v>
      </c>
      <c r="AH123" s="37">
        <f t="shared" si="188"/>
        <v>0</v>
      </c>
      <c r="AI123" s="49" t="s">
        <v>89</v>
      </c>
      <c r="AJ123" s="37">
        <f t="shared" si="189"/>
        <v>0</v>
      </c>
      <c r="AK123" s="37">
        <f t="shared" si="190"/>
        <v>0</v>
      </c>
      <c r="AL123" s="37">
        <f t="shared" si="191"/>
        <v>0</v>
      </c>
      <c r="AN123" s="37">
        <v>21</v>
      </c>
      <c r="AO123" s="37">
        <f>G123*0.796167544</f>
        <v>0</v>
      </c>
      <c r="AP123" s="37">
        <f>G123*(1-0.796167544)</f>
        <v>0</v>
      </c>
      <c r="AQ123" s="72" t="s">
        <v>219</v>
      </c>
      <c r="AV123" s="37">
        <f t="shared" si="192"/>
        <v>0</v>
      </c>
      <c r="AW123" s="37">
        <f t="shared" si="193"/>
        <v>0</v>
      </c>
      <c r="AX123" s="37">
        <f t="shared" si="194"/>
        <v>0</v>
      </c>
      <c r="AY123" s="72" t="s">
        <v>494</v>
      </c>
      <c r="AZ123" s="72" t="s">
        <v>453</v>
      </c>
      <c r="BA123" s="49" t="s">
        <v>226</v>
      </c>
      <c r="BC123" s="37">
        <f t="shared" si="195"/>
        <v>0</v>
      </c>
      <c r="BD123" s="37">
        <f t="shared" si="196"/>
        <v>0</v>
      </c>
      <c r="BE123" s="37">
        <v>0</v>
      </c>
      <c r="BF123" s="37">
        <f>123</f>
        <v>123</v>
      </c>
      <c r="BH123" s="37">
        <f t="shared" si="197"/>
        <v>0</v>
      </c>
      <c r="BI123" s="37">
        <f t="shared" si="198"/>
        <v>0</v>
      </c>
      <c r="BJ123" s="37">
        <f t="shared" si="199"/>
        <v>0</v>
      </c>
      <c r="BK123" s="37"/>
      <c r="BL123" s="37">
        <v>63</v>
      </c>
      <c r="BW123" s="37">
        <v>21</v>
      </c>
      <c r="BX123" s="3" t="s">
        <v>505</v>
      </c>
    </row>
    <row r="124" spans="1:76" x14ac:dyDescent="0.25">
      <c r="A124" s="1" t="s">
        <v>173</v>
      </c>
      <c r="B124" s="2" t="s">
        <v>506</v>
      </c>
      <c r="C124" s="279" t="s">
        <v>507</v>
      </c>
      <c r="D124" s="280"/>
      <c r="E124" s="2" t="s">
        <v>249</v>
      </c>
      <c r="F124" s="37">
        <v>96.9</v>
      </c>
      <c r="G124" s="78">
        <v>0</v>
      </c>
      <c r="H124" s="37">
        <f t="shared" si="178"/>
        <v>0</v>
      </c>
      <c r="I124" s="37">
        <f t="shared" si="179"/>
        <v>0</v>
      </c>
      <c r="J124" s="37">
        <f t="shared" si="180"/>
        <v>0</v>
      </c>
      <c r="K124" s="79" t="s">
        <v>223</v>
      </c>
      <c r="Z124" s="37">
        <f t="shared" si="181"/>
        <v>0</v>
      </c>
      <c r="AB124" s="37">
        <f t="shared" si="182"/>
        <v>0</v>
      </c>
      <c r="AC124" s="37">
        <f t="shared" si="183"/>
        <v>0</v>
      </c>
      <c r="AD124" s="37">
        <f t="shared" si="184"/>
        <v>0</v>
      </c>
      <c r="AE124" s="37">
        <f t="shared" si="185"/>
        <v>0</v>
      </c>
      <c r="AF124" s="37">
        <f t="shared" si="186"/>
        <v>0</v>
      </c>
      <c r="AG124" s="37">
        <f t="shared" si="187"/>
        <v>0</v>
      </c>
      <c r="AH124" s="37">
        <f t="shared" si="188"/>
        <v>0</v>
      </c>
      <c r="AI124" s="49" t="s">
        <v>89</v>
      </c>
      <c r="AJ124" s="37">
        <f t="shared" si="189"/>
        <v>0</v>
      </c>
      <c r="AK124" s="37">
        <f t="shared" si="190"/>
        <v>0</v>
      </c>
      <c r="AL124" s="37">
        <f t="shared" si="191"/>
        <v>0</v>
      </c>
      <c r="AN124" s="37">
        <v>21</v>
      </c>
      <c r="AO124" s="37">
        <f>G124*0.422839248</f>
        <v>0</v>
      </c>
      <c r="AP124" s="37">
        <f>G124*(1-0.422839248)</f>
        <v>0</v>
      </c>
      <c r="AQ124" s="72" t="s">
        <v>219</v>
      </c>
      <c r="AV124" s="37">
        <f t="shared" si="192"/>
        <v>0</v>
      </c>
      <c r="AW124" s="37">
        <f t="shared" si="193"/>
        <v>0</v>
      </c>
      <c r="AX124" s="37">
        <f t="shared" si="194"/>
        <v>0</v>
      </c>
      <c r="AY124" s="72" t="s">
        <v>494</v>
      </c>
      <c r="AZ124" s="72" t="s">
        <v>453</v>
      </c>
      <c r="BA124" s="49" t="s">
        <v>226</v>
      </c>
      <c r="BC124" s="37">
        <f t="shared" si="195"/>
        <v>0</v>
      </c>
      <c r="BD124" s="37">
        <f t="shared" si="196"/>
        <v>0</v>
      </c>
      <c r="BE124" s="37">
        <v>0</v>
      </c>
      <c r="BF124" s="37">
        <f>124</f>
        <v>124</v>
      </c>
      <c r="BH124" s="37">
        <f t="shared" si="197"/>
        <v>0</v>
      </c>
      <c r="BI124" s="37">
        <f t="shared" si="198"/>
        <v>0</v>
      </c>
      <c r="BJ124" s="37">
        <f t="shared" si="199"/>
        <v>0</v>
      </c>
      <c r="BK124" s="37"/>
      <c r="BL124" s="37">
        <v>63</v>
      </c>
      <c r="BW124" s="37">
        <v>21</v>
      </c>
      <c r="BX124" s="3" t="s">
        <v>507</v>
      </c>
    </row>
    <row r="125" spans="1:76" x14ac:dyDescent="0.25">
      <c r="A125" s="80" t="s">
        <v>4</v>
      </c>
      <c r="B125" s="81" t="s">
        <v>127</v>
      </c>
      <c r="C125" s="365" t="s">
        <v>128</v>
      </c>
      <c r="D125" s="366"/>
      <c r="E125" s="82" t="s">
        <v>81</v>
      </c>
      <c r="F125" s="82" t="s">
        <v>81</v>
      </c>
      <c r="G125" s="83" t="s">
        <v>81</v>
      </c>
      <c r="H125" s="43">
        <f>SUM(H126:H130)</f>
        <v>0</v>
      </c>
      <c r="I125" s="43">
        <f>SUM(I126:I130)</f>
        <v>0</v>
      </c>
      <c r="J125" s="43">
        <f>SUM(J126:J130)</f>
        <v>0</v>
      </c>
      <c r="K125" s="84" t="s">
        <v>4</v>
      </c>
      <c r="AI125" s="49" t="s">
        <v>89</v>
      </c>
      <c r="AS125" s="43">
        <f>SUM(AJ126:AJ130)</f>
        <v>0</v>
      </c>
      <c r="AT125" s="43">
        <f>SUM(AK126:AK130)</f>
        <v>0</v>
      </c>
      <c r="AU125" s="43">
        <f>SUM(AL126:AL130)</f>
        <v>0</v>
      </c>
    </row>
    <row r="126" spans="1:76" ht="25.5" x14ac:dyDescent="0.25">
      <c r="A126" s="1" t="s">
        <v>175</v>
      </c>
      <c r="B126" s="2" t="s">
        <v>508</v>
      </c>
      <c r="C126" s="279" t="s">
        <v>509</v>
      </c>
      <c r="D126" s="280"/>
      <c r="E126" s="2" t="s">
        <v>329</v>
      </c>
      <c r="F126" s="37">
        <v>1</v>
      </c>
      <c r="G126" s="78">
        <v>0</v>
      </c>
      <c r="H126" s="37">
        <f>F126*AO126</f>
        <v>0</v>
      </c>
      <c r="I126" s="37">
        <f>F126*AP126</f>
        <v>0</v>
      </c>
      <c r="J126" s="37">
        <f>F126*G126</f>
        <v>0</v>
      </c>
      <c r="K126" s="79" t="s">
        <v>223</v>
      </c>
      <c r="Z126" s="37">
        <f>IF(AQ126="5",BJ126,0)</f>
        <v>0</v>
      </c>
      <c r="AB126" s="37">
        <f>IF(AQ126="1",BH126,0)</f>
        <v>0</v>
      </c>
      <c r="AC126" s="37">
        <f>IF(AQ126="1",BI126,0)</f>
        <v>0</v>
      </c>
      <c r="AD126" s="37">
        <f>IF(AQ126="7",BH126,0)</f>
        <v>0</v>
      </c>
      <c r="AE126" s="37">
        <f>IF(AQ126="7",BI126,0)</f>
        <v>0</v>
      </c>
      <c r="AF126" s="37">
        <f>IF(AQ126="2",BH126,0)</f>
        <v>0</v>
      </c>
      <c r="AG126" s="37">
        <f>IF(AQ126="2",BI126,0)</f>
        <v>0</v>
      </c>
      <c r="AH126" s="37">
        <f>IF(AQ126="0",BJ126,0)</f>
        <v>0</v>
      </c>
      <c r="AI126" s="49" t="s">
        <v>89</v>
      </c>
      <c r="AJ126" s="37">
        <f>IF(AN126=0,J126,0)</f>
        <v>0</v>
      </c>
      <c r="AK126" s="37">
        <f>IF(AN126=12,J126,0)</f>
        <v>0</v>
      </c>
      <c r="AL126" s="37">
        <f>IF(AN126=21,J126,0)</f>
        <v>0</v>
      </c>
      <c r="AN126" s="37">
        <v>21</v>
      </c>
      <c r="AO126" s="37">
        <f>G126*0.784886139</f>
        <v>0</v>
      </c>
      <c r="AP126" s="37">
        <f>G126*(1-0.784886139)</f>
        <v>0</v>
      </c>
      <c r="AQ126" s="72" t="s">
        <v>219</v>
      </c>
      <c r="AV126" s="37">
        <f>AW126+AX126</f>
        <v>0</v>
      </c>
      <c r="AW126" s="37">
        <f>F126*AO126</f>
        <v>0</v>
      </c>
      <c r="AX126" s="37">
        <f>F126*AP126</f>
        <v>0</v>
      </c>
      <c r="AY126" s="72" t="s">
        <v>510</v>
      </c>
      <c r="AZ126" s="72" t="s">
        <v>453</v>
      </c>
      <c r="BA126" s="49" t="s">
        <v>226</v>
      </c>
      <c r="BC126" s="37">
        <f>AW126+AX126</f>
        <v>0</v>
      </c>
      <c r="BD126" s="37">
        <f>G126/(100-BE126)*100</f>
        <v>0</v>
      </c>
      <c r="BE126" s="37">
        <v>0</v>
      </c>
      <c r="BF126" s="37">
        <f>126</f>
        <v>126</v>
      </c>
      <c r="BH126" s="37">
        <f>F126*AO126</f>
        <v>0</v>
      </c>
      <c r="BI126" s="37">
        <f>F126*AP126</f>
        <v>0</v>
      </c>
      <c r="BJ126" s="37">
        <f>F126*G126</f>
        <v>0</v>
      </c>
      <c r="BK126" s="37"/>
      <c r="BL126" s="37">
        <v>64</v>
      </c>
      <c r="BW126" s="37">
        <v>21</v>
      </c>
      <c r="BX126" s="3" t="s">
        <v>509</v>
      </c>
    </row>
    <row r="127" spans="1:76" ht="25.5" x14ac:dyDescent="0.25">
      <c r="A127" s="1" t="s">
        <v>177</v>
      </c>
      <c r="B127" s="2" t="s">
        <v>511</v>
      </c>
      <c r="C127" s="279" t="s">
        <v>512</v>
      </c>
      <c r="D127" s="280"/>
      <c r="E127" s="2" t="s">
        <v>329</v>
      </c>
      <c r="F127" s="37">
        <v>1</v>
      </c>
      <c r="G127" s="78">
        <v>0</v>
      </c>
      <c r="H127" s="37">
        <f>F127*AO127</f>
        <v>0</v>
      </c>
      <c r="I127" s="37">
        <f>F127*AP127</f>
        <v>0</v>
      </c>
      <c r="J127" s="37">
        <f>F127*G127</f>
        <v>0</v>
      </c>
      <c r="K127" s="79" t="s">
        <v>223</v>
      </c>
      <c r="Z127" s="37">
        <f>IF(AQ127="5",BJ127,0)</f>
        <v>0</v>
      </c>
      <c r="AB127" s="37">
        <f>IF(AQ127="1",BH127,0)</f>
        <v>0</v>
      </c>
      <c r="AC127" s="37">
        <f>IF(AQ127="1",BI127,0)</f>
        <v>0</v>
      </c>
      <c r="AD127" s="37">
        <f>IF(AQ127="7",BH127,0)</f>
        <v>0</v>
      </c>
      <c r="AE127" s="37">
        <f>IF(AQ127="7",BI127,0)</f>
        <v>0</v>
      </c>
      <c r="AF127" s="37">
        <f>IF(AQ127="2",BH127,0)</f>
        <v>0</v>
      </c>
      <c r="AG127" s="37">
        <f>IF(AQ127="2",BI127,0)</f>
        <v>0</v>
      </c>
      <c r="AH127" s="37">
        <f>IF(AQ127="0",BJ127,0)</f>
        <v>0</v>
      </c>
      <c r="AI127" s="49" t="s">
        <v>89</v>
      </c>
      <c r="AJ127" s="37">
        <f>IF(AN127=0,J127,0)</f>
        <v>0</v>
      </c>
      <c r="AK127" s="37">
        <f>IF(AN127=12,J127,0)</f>
        <v>0</v>
      </c>
      <c r="AL127" s="37">
        <f>IF(AN127=21,J127,0)</f>
        <v>0</v>
      </c>
      <c r="AN127" s="37">
        <v>21</v>
      </c>
      <c r="AO127" s="37">
        <f>G127*0.770425402</f>
        <v>0</v>
      </c>
      <c r="AP127" s="37">
        <f>G127*(1-0.770425402)</f>
        <v>0</v>
      </c>
      <c r="AQ127" s="72" t="s">
        <v>219</v>
      </c>
      <c r="AV127" s="37">
        <f>AW127+AX127</f>
        <v>0</v>
      </c>
      <c r="AW127" s="37">
        <f>F127*AO127</f>
        <v>0</v>
      </c>
      <c r="AX127" s="37">
        <f>F127*AP127</f>
        <v>0</v>
      </c>
      <c r="AY127" s="72" t="s">
        <v>510</v>
      </c>
      <c r="AZ127" s="72" t="s">
        <v>453</v>
      </c>
      <c r="BA127" s="49" t="s">
        <v>226</v>
      </c>
      <c r="BC127" s="37">
        <f>AW127+AX127</f>
        <v>0</v>
      </c>
      <c r="BD127" s="37">
        <f>G127/(100-BE127)*100</f>
        <v>0</v>
      </c>
      <c r="BE127" s="37">
        <v>0</v>
      </c>
      <c r="BF127" s="37">
        <f>127</f>
        <v>127</v>
      </c>
      <c r="BH127" s="37">
        <f>F127*AO127</f>
        <v>0</v>
      </c>
      <c r="BI127" s="37">
        <f>F127*AP127</f>
        <v>0</v>
      </c>
      <c r="BJ127" s="37">
        <f>F127*G127</f>
        <v>0</v>
      </c>
      <c r="BK127" s="37"/>
      <c r="BL127" s="37">
        <v>64</v>
      </c>
      <c r="BW127" s="37">
        <v>21</v>
      </c>
      <c r="BX127" s="3" t="s">
        <v>512</v>
      </c>
    </row>
    <row r="128" spans="1:76" ht="25.5" x14ac:dyDescent="0.25">
      <c r="A128" s="1" t="s">
        <v>513</v>
      </c>
      <c r="B128" s="2" t="s">
        <v>514</v>
      </c>
      <c r="C128" s="279" t="s">
        <v>515</v>
      </c>
      <c r="D128" s="280"/>
      <c r="E128" s="2" t="s">
        <v>333</v>
      </c>
      <c r="F128" s="37">
        <v>14.13</v>
      </c>
      <c r="G128" s="78">
        <v>0</v>
      </c>
      <c r="H128" s="37">
        <f>F128*AO128</f>
        <v>0</v>
      </c>
      <c r="I128" s="37">
        <f>F128*AP128</f>
        <v>0</v>
      </c>
      <c r="J128" s="37">
        <f>F128*G128</f>
        <v>0</v>
      </c>
      <c r="K128" s="79" t="s">
        <v>223</v>
      </c>
      <c r="Z128" s="37">
        <f>IF(AQ128="5",BJ128,0)</f>
        <v>0</v>
      </c>
      <c r="AB128" s="37">
        <f>IF(AQ128="1",BH128,0)</f>
        <v>0</v>
      </c>
      <c r="AC128" s="37">
        <f>IF(AQ128="1",BI128,0)</f>
        <v>0</v>
      </c>
      <c r="AD128" s="37">
        <f>IF(AQ128="7",BH128,0)</f>
        <v>0</v>
      </c>
      <c r="AE128" s="37">
        <f>IF(AQ128="7",BI128,0)</f>
        <v>0</v>
      </c>
      <c r="AF128" s="37">
        <f>IF(AQ128="2",BH128,0)</f>
        <v>0</v>
      </c>
      <c r="AG128" s="37">
        <f>IF(AQ128="2",BI128,0)</f>
        <v>0</v>
      </c>
      <c r="AH128" s="37">
        <f>IF(AQ128="0",BJ128,0)</f>
        <v>0</v>
      </c>
      <c r="AI128" s="49" t="s">
        <v>89</v>
      </c>
      <c r="AJ128" s="37">
        <f>IF(AN128=0,J128,0)</f>
        <v>0</v>
      </c>
      <c r="AK128" s="37">
        <f>IF(AN128=12,J128,0)</f>
        <v>0</v>
      </c>
      <c r="AL128" s="37">
        <f>IF(AN128=21,J128,0)</f>
        <v>0</v>
      </c>
      <c r="AN128" s="37">
        <v>21</v>
      </c>
      <c r="AO128" s="37">
        <f>G128*0.56241649</f>
        <v>0</v>
      </c>
      <c r="AP128" s="37">
        <f>G128*(1-0.56241649)</f>
        <v>0</v>
      </c>
      <c r="AQ128" s="72" t="s">
        <v>219</v>
      </c>
      <c r="AV128" s="37">
        <f>AW128+AX128</f>
        <v>0</v>
      </c>
      <c r="AW128" s="37">
        <f>F128*AO128</f>
        <v>0</v>
      </c>
      <c r="AX128" s="37">
        <f>F128*AP128</f>
        <v>0</v>
      </c>
      <c r="AY128" s="72" t="s">
        <v>510</v>
      </c>
      <c r="AZ128" s="72" t="s">
        <v>453</v>
      </c>
      <c r="BA128" s="49" t="s">
        <v>226</v>
      </c>
      <c r="BC128" s="37">
        <f>AW128+AX128</f>
        <v>0</v>
      </c>
      <c r="BD128" s="37">
        <f>G128/(100-BE128)*100</f>
        <v>0</v>
      </c>
      <c r="BE128" s="37">
        <v>0</v>
      </c>
      <c r="BF128" s="37">
        <f>128</f>
        <v>128</v>
      </c>
      <c r="BH128" s="37">
        <f>F128*AO128</f>
        <v>0</v>
      </c>
      <c r="BI128" s="37">
        <f>F128*AP128</f>
        <v>0</v>
      </c>
      <c r="BJ128" s="37">
        <f>F128*G128</f>
        <v>0</v>
      </c>
      <c r="BK128" s="37"/>
      <c r="BL128" s="37">
        <v>64</v>
      </c>
      <c r="BW128" s="37">
        <v>21</v>
      </c>
      <c r="BX128" s="3" t="s">
        <v>515</v>
      </c>
    </row>
    <row r="129" spans="1:76" x14ac:dyDescent="0.25">
      <c r="A129" s="1" t="s">
        <v>516</v>
      </c>
      <c r="B129" s="2" t="s">
        <v>517</v>
      </c>
      <c r="C129" s="279" t="s">
        <v>518</v>
      </c>
      <c r="D129" s="280"/>
      <c r="E129" s="2" t="s">
        <v>329</v>
      </c>
      <c r="F129" s="37">
        <v>1</v>
      </c>
      <c r="G129" s="78">
        <v>0</v>
      </c>
      <c r="H129" s="37">
        <f>F129*AO129</f>
        <v>0</v>
      </c>
      <c r="I129" s="37">
        <f>F129*AP129</f>
        <v>0</v>
      </c>
      <c r="J129" s="37">
        <f>F129*G129</f>
        <v>0</v>
      </c>
      <c r="K129" s="79" t="s">
        <v>223</v>
      </c>
      <c r="Z129" s="37">
        <f>IF(AQ129="5",BJ129,0)</f>
        <v>0</v>
      </c>
      <c r="AB129" s="37">
        <f>IF(AQ129="1",BH129,0)</f>
        <v>0</v>
      </c>
      <c r="AC129" s="37">
        <f>IF(AQ129="1",BI129,0)</f>
        <v>0</v>
      </c>
      <c r="AD129" s="37">
        <f>IF(AQ129="7",BH129,0)</f>
        <v>0</v>
      </c>
      <c r="AE129" s="37">
        <f>IF(AQ129="7",BI129,0)</f>
        <v>0</v>
      </c>
      <c r="AF129" s="37">
        <f>IF(AQ129="2",BH129,0)</f>
        <v>0</v>
      </c>
      <c r="AG129" s="37">
        <f>IF(AQ129="2",BI129,0)</f>
        <v>0</v>
      </c>
      <c r="AH129" s="37">
        <f>IF(AQ129="0",BJ129,0)</f>
        <v>0</v>
      </c>
      <c r="AI129" s="49" t="s">
        <v>89</v>
      </c>
      <c r="AJ129" s="37">
        <f>IF(AN129=0,J129,0)</f>
        <v>0</v>
      </c>
      <c r="AK129" s="37">
        <f>IF(AN129=12,J129,0)</f>
        <v>0</v>
      </c>
      <c r="AL129" s="37">
        <f>IF(AN129=21,J129,0)</f>
        <v>0</v>
      </c>
      <c r="AN129" s="37">
        <v>21</v>
      </c>
      <c r="AO129" s="37">
        <f>G129*0.352970093</f>
        <v>0</v>
      </c>
      <c r="AP129" s="37">
        <f>G129*(1-0.352970093)</f>
        <v>0</v>
      </c>
      <c r="AQ129" s="72" t="s">
        <v>219</v>
      </c>
      <c r="AV129" s="37">
        <f>AW129+AX129</f>
        <v>0</v>
      </c>
      <c r="AW129" s="37">
        <f>F129*AO129</f>
        <v>0</v>
      </c>
      <c r="AX129" s="37">
        <f>F129*AP129</f>
        <v>0</v>
      </c>
      <c r="AY129" s="72" t="s">
        <v>510</v>
      </c>
      <c r="AZ129" s="72" t="s">
        <v>453</v>
      </c>
      <c r="BA129" s="49" t="s">
        <v>226</v>
      </c>
      <c r="BC129" s="37">
        <f>AW129+AX129</f>
        <v>0</v>
      </c>
      <c r="BD129" s="37">
        <f>G129/(100-BE129)*100</f>
        <v>0</v>
      </c>
      <c r="BE129" s="37">
        <v>0</v>
      </c>
      <c r="BF129" s="37">
        <f>129</f>
        <v>129</v>
      </c>
      <c r="BH129" s="37">
        <f>F129*AO129</f>
        <v>0</v>
      </c>
      <c r="BI129" s="37">
        <f>F129*AP129</f>
        <v>0</v>
      </c>
      <c r="BJ129" s="37">
        <f>F129*G129</f>
        <v>0</v>
      </c>
      <c r="BK129" s="37"/>
      <c r="BL129" s="37">
        <v>64</v>
      </c>
      <c r="BW129" s="37">
        <v>21</v>
      </c>
      <c r="BX129" s="3" t="s">
        <v>518</v>
      </c>
    </row>
    <row r="130" spans="1:76" x14ac:dyDescent="0.25">
      <c r="A130" s="1" t="s">
        <v>519</v>
      </c>
      <c r="B130" s="2" t="s">
        <v>520</v>
      </c>
      <c r="C130" s="279" t="s">
        <v>521</v>
      </c>
      <c r="D130" s="280"/>
      <c r="E130" s="2" t="s">
        <v>296</v>
      </c>
      <c r="F130" s="37">
        <v>221.02168</v>
      </c>
      <c r="G130" s="78">
        <v>0</v>
      </c>
      <c r="H130" s="37">
        <f>F130*AO130</f>
        <v>0</v>
      </c>
      <c r="I130" s="37">
        <f>F130*AP130</f>
        <v>0</v>
      </c>
      <c r="J130" s="37">
        <f>F130*G130</f>
        <v>0</v>
      </c>
      <c r="K130" s="79" t="s">
        <v>236</v>
      </c>
      <c r="Z130" s="37">
        <f>IF(AQ130="5",BJ130,0)</f>
        <v>0</v>
      </c>
      <c r="AB130" s="37">
        <f>IF(AQ130="1",BH130,0)</f>
        <v>0</v>
      </c>
      <c r="AC130" s="37">
        <f>IF(AQ130="1",BI130,0)</f>
        <v>0</v>
      </c>
      <c r="AD130" s="37">
        <f>IF(AQ130="7",BH130,0)</f>
        <v>0</v>
      </c>
      <c r="AE130" s="37">
        <f>IF(AQ130="7",BI130,0)</f>
        <v>0</v>
      </c>
      <c r="AF130" s="37">
        <f>IF(AQ130="2",BH130,0)</f>
        <v>0</v>
      </c>
      <c r="AG130" s="37">
        <f>IF(AQ130="2",BI130,0)</f>
        <v>0</v>
      </c>
      <c r="AH130" s="37">
        <f>IF(AQ130="0",BJ130,0)</f>
        <v>0</v>
      </c>
      <c r="AI130" s="49" t="s">
        <v>89</v>
      </c>
      <c r="AJ130" s="37">
        <f>IF(AN130=0,J130,0)</f>
        <v>0</v>
      </c>
      <c r="AK130" s="37">
        <f>IF(AN130=12,J130,0)</f>
        <v>0</v>
      </c>
      <c r="AL130" s="37">
        <f>IF(AN130=21,J130,0)</f>
        <v>0</v>
      </c>
      <c r="AN130" s="37">
        <v>21</v>
      </c>
      <c r="AO130" s="37">
        <f>G130*0</f>
        <v>0</v>
      </c>
      <c r="AP130" s="37">
        <f>G130*(1-0)</f>
        <v>0</v>
      </c>
      <c r="AQ130" s="72" t="s">
        <v>237</v>
      </c>
      <c r="AV130" s="37">
        <f>AW130+AX130</f>
        <v>0</v>
      </c>
      <c r="AW130" s="37">
        <f>F130*AO130</f>
        <v>0</v>
      </c>
      <c r="AX130" s="37">
        <f>F130*AP130</f>
        <v>0</v>
      </c>
      <c r="AY130" s="72" t="s">
        <v>510</v>
      </c>
      <c r="AZ130" s="72" t="s">
        <v>453</v>
      </c>
      <c r="BA130" s="49" t="s">
        <v>226</v>
      </c>
      <c r="BC130" s="37">
        <f>AW130+AX130</f>
        <v>0</v>
      </c>
      <c r="BD130" s="37">
        <f>G130/(100-BE130)*100</f>
        <v>0</v>
      </c>
      <c r="BE130" s="37">
        <v>0</v>
      </c>
      <c r="BF130" s="37">
        <f>130</f>
        <v>130</v>
      </c>
      <c r="BH130" s="37">
        <f>F130*AO130</f>
        <v>0</v>
      </c>
      <c r="BI130" s="37">
        <f>F130*AP130</f>
        <v>0</v>
      </c>
      <c r="BJ130" s="37">
        <f>F130*G130</f>
        <v>0</v>
      </c>
      <c r="BK130" s="37"/>
      <c r="BL130" s="37">
        <v>64</v>
      </c>
      <c r="BW130" s="37">
        <v>21</v>
      </c>
      <c r="BX130" s="3" t="s">
        <v>521</v>
      </c>
    </row>
    <row r="131" spans="1:76" x14ac:dyDescent="0.25">
      <c r="A131" s="80" t="s">
        <v>4</v>
      </c>
      <c r="B131" s="81" t="s">
        <v>129</v>
      </c>
      <c r="C131" s="365" t="s">
        <v>130</v>
      </c>
      <c r="D131" s="366"/>
      <c r="E131" s="82" t="s">
        <v>81</v>
      </c>
      <c r="F131" s="82" t="s">
        <v>81</v>
      </c>
      <c r="G131" s="83" t="s">
        <v>81</v>
      </c>
      <c r="H131" s="43">
        <f>SUM(H132:H136)</f>
        <v>0</v>
      </c>
      <c r="I131" s="43">
        <f>SUM(I132:I136)</f>
        <v>0</v>
      </c>
      <c r="J131" s="43">
        <f>SUM(J132:J136)</f>
        <v>0</v>
      </c>
      <c r="K131" s="84" t="s">
        <v>4</v>
      </c>
      <c r="AI131" s="49" t="s">
        <v>89</v>
      </c>
      <c r="AS131" s="43">
        <f>SUM(AJ132:AJ136)</f>
        <v>0</v>
      </c>
      <c r="AT131" s="43">
        <f>SUM(AK132:AK136)</f>
        <v>0</v>
      </c>
      <c r="AU131" s="43">
        <f>SUM(AL132:AL136)</f>
        <v>0</v>
      </c>
    </row>
    <row r="132" spans="1:76" x14ac:dyDescent="0.25">
      <c r="A132" s="1" t="s">
        <v>522</v>
      </c>
      <c r="B132" s="2" t="s">
        <v>523</v>
      </c>
      <c r="C132" s="279" t="s">
        <v>524</v>
      </c>
      <c r="D132" s="280"/>
      <c r="E132" s="2" t="s">
        <v>249</v>
      </c>
      <c r="F132" s="37">
        <v>158.09</v>
      </c>
      <c r="G132" s="78">
        <v>0</v>
      </c>
      <c r="H132" s="37">
        <f>F132*AO132</f>
        <v>0</v>
      </c>
      <c r="I132" s="37">
        <f>F132*AP132</f>
        <v>0</v>
      </c>
      <c r="J132" s="37">
        <f>F132*G132</f>
        <v>0</v>
      </c>
      <c r="K132" s="79" t="s">
        <v>223</v>
      </c>
      <c r="Z132" s="37">
        <f>IF(AQ132="5",BJ132,0)</f>
        <v>0</v>
      </c>
      <c r="AB132" s="37">
        <f>IF(AQ132="1",BH132,0)</f>
        <v>0</v>
      </c>
      <c r="AC132" s="37">
        <f>IF(AQ132="1",BI132,0)</f>
        <v>0</v>
      </c>
      <c r="AD132" s="37">
        <f>IF(AQ132="7",BH132,0)</f>
        <v>0</v>
      </c>
      <c r="AE132" s="37">
        <f>IF(AQ132="7",BI132,0)</f>
        <v>0</v>
      </c>
      <c r="AF132" s="37">
        <f>IF(AQ132="2",BH132,0)</f>
        <v>0</v>
      </c>
      <c r="AG132" s="37">
        <f>IF(AQ132="2",BI132,0)</f>
        <v>0</v>
      </c>
      <c r="AH132" s="37">
        <f>IF(AQ132="0",BJ132,0)</f>
        <v>0</v>
      </c>
      <c r="AI132" s="49" t="s">
        <v>89</v>
      </c>
      <c r="AJ132" s="37">
        <f>IF(AN132=0,J132,0)</f>
        <v>0</v>
      </c>
      <c r="AK132" s="37">
        <f>IF(AN132=12,J132,0)</f>
        <v>0</v>
      </c>
      <c r="AL132" s="37">
        <f>IF(AN132=21,J132,0)</f>
        <v>0</v>
      </c>
      <c r="AN132" s="37">
        <v>21</v>
      </c>
      <c r="AO132" s="37">
        <f>G132*0.338873582</f>
        <v>0</v>
      </c>
      <c r="AP132" s="37">
        <f>G132*(1-0.338873582)</f>
        <v>0</v>
      </c>
      <c r="AQ132" s="72" t="s">
        <v>243</v>
      </c>
      <c r="AV132" s="37">
        <f>AW132+AX132</f>
        <v>0</v>
      </c>
      <c r="AW132" s="37">
        <f>F132*AO132</f>
        <v>0</v>
      </c>
      <c r="AX132" s="37">
        <f>F132*AP132</f>
        <v>0</v>
      </c>
      <c r="AY132" s="72" t="s">
        <v>525</v>
      </c>
      <c r="AZ132" s="72" t="s">
        <v>526</v>
      </c>
      <c r="BA132" s="49" t="s">
        <v>226</v>
      </c>
      <c r="BC132" s="37">
        <f>AW132+AX132</f>
        <v>0</v>
      </c>
      <c r="BD132" s="37">
        <f>G132/(100-BE132)*100</f>
        <v>0</v>
      </c>
      <c r="BE132" s="37">
        <v>0</v>
      </c>
      <c r="BF132" s="37">
        <f>132</f>
        <v>132</v>
      </c>
      <c r="BH132" s="37">
        <f>F132*AO132</f>
        <v>0</v>
      </c>
      <c r="BI132" s="37">
        <f>F132*AP132</f>
        <v>0</v>
      </c>
      <c r="BJ132" s="37">
        <f>F132*G132</f>
        <v>0</v>
      </c>
      <c r="BK132" s="37"/>
      <c r="BL132" s="37">
        <v>711</v>
      </c>
      <c r="BW132" s="37">
        <v>21</v>
      </c>
      <c r="BX132" s="3" t="s">
        <v>524</v>
      </c>
    </row>
    <row r="133" spans="1:76" x14ac:dyDescent="0.25">
      <c r="A133" s="1" t="s">
        <v>527</v>
      </c>
      <c r="B133" s="2" t="s">
        <v>528</v>
      </c>
      <c r="C133" s="279" t="s">
        <v>529</v>
      </c>
      <c r="D133" s="280"/>
      <c r="E133" s="2" t="s">
        <v>249</v>
      </c>
      <c r="F133" s="37">
        <v>116.19</v>
      </c>
      <c r="G133" s="78">
        <v>0</v>
      </c>
      <c r="H133" s="37">
        <f>F133*AO133</f>
        <v>0</v>
      </c>
      <c r="I133" s="37">
        <f>F133*AP133</f>
        <v>0</v>
      </c>
      <c r="J133" s="37">
        <f>F133*G133</f>
        <v>0</v>
      </c>
      <c r="K133" s="79" t="s">
        <v>223</v>
      </c>
      <c r="Z133" s="37">
        <f>IF(AQ133="5",BJ133,0)</f>
        <v>0</v>
      </c>
      <c r="AB133" s="37">
        <f>IF(AQ133="1",BH133,0)</f>
        <v>0</v>
      </c>
      <c r="AC133" s="37">
        <f>IF(AQ133="1",BI133,0)</f>
        <v>0</v>
      </c>
      <c r="AD133" s="37">
        <f>IF(AQ133="7",BH133,0)</f>
        <v>0</v>
      </c>
      <c r="AE133" s="37">
        <f>IF(AQ133="7",BI133,0)</f>
        <v>0</v>
      </c>
      <c r="AF133" s="37">
        <f>IF(AQ133="2",BH133,0)</f>
        <v>0</v>
      </c>
      <c r="AG133" s="37">
        <f>IF(AQ133="2",BI133,0)</f>
        <v>0</v>
      </c>
      <c r="AH133" s="37">
        <f>IF(AQ133="0",BJ133,0)</f>
        <v>0</v>
      </c>
      <c r="AI133" s="49" t="s">
        <v>89</v>
      </c>
      <c r="AJ133" s="37">
        <f>IF(AN133=0,J133,0)</f>
        <v>0</v>
      </c>
      <c r="AK133" s="37">
        <f>IF(AN133=12,J133,0)</f>
        <v>0</v>
      </c>
      <c r="AL133" s="37">
        <f>IF(AN133=21,J133,0)</f>
        <v>0</v>
      </c>
      <c r="AN133" s="37">
        <v>21</v>
      </c>
      <c r="AO133" s="37">
        <f>G133*0.722030413</f>
        <v>0</v>
      </c>
      <c r="AP133" s="37">
        <f>G133*(1-0.722030413)</f>
        <v>0</v>
      </c>
      <c r="AQ133" s="72" t="s">
        <v>243</v>
      </c>
      <c r="AV133" s="37">
        <f>AW133+AX133</f>
        <v>0</v>
      </c>
      <c r="AW133" s="37">
        <f>F133*AO133</f>
        <v>0</v>
      </c>
      <c r="AX133" s="37">
        <f>F133*AP133</f>
        <v>0</v>
      </c>
      <c r="AY133" s="72" t="s">
        <v>525</v>
      </c>
      <c r="AZ133" s="72" t="s">
        <v>526</v>
      </c>
      <c r="BA133" s="49" t="s">
        <v>226</v>
      </c>
      <c r="BC133" s="37">
        <f>AW133+AX133</f>
        <v>0</v>
      </c>
      <c r="BD133" s="37">
        <f>G133/(100-BE133)*100</f>
        <v>0</v>
      </c>
      <c r="BE133" s="37">
        <v>0</v>
      </c>
      <c r="BF133" s="37">
        <f>133</f>
        <v>133</v>
      </c>
      <c r="BH133" s="37">
        <f>F133*AO133</f>
        <v>0</v>
      </c>
      <c r="BI133" s="37">
        <f>F133*AP133</f>
        <v>0</v>
      </c>
      <c r="BJ133" s="37">
        <f>F133*G133</f>
        <v>0</v>
      </c>
      <c r="BK133" s="37"/>
      <c r="BL133" s="37">
        <v>711</v>
      </c>
      <c r="BW133" s="37">
        <v>21</v>
      </c>
      <c r="BX133" s="3" t="s">
        <v>529</v>
      </c>
    </row>
    <row r="134" spans="1:76" ht="25.5" x14ac:dyDescent="0.25">
      <c r="A134" s="1" t="s">
        <v>530</v>
      </c>
      <c r="B134" s="2" t="s">
        <v>531</v>
      </c>
      <c r="C134" s="279" t="s">
        <v>532</v>
      </c>
      <c r="D134" s="280"/>
      <c r="E134" s="2" t="s">
        <v>249</v>
      </c>
      <c r="F134" s="37">
        <v>139.428</v>
      </c>
      <c r="G134" s="78">
        <v>0</v>
      </c>
      <c r="H134" s="37">
        <f>F134*AO134</f>
        <v>0</v>
      </c>
      <c r="I134" s="37">
        <f>F134*AP134</f>
        <v>0</v>
      </c>
      <c r="J134" s="37">
        <f>F134*G134</f>
        <v>0</v>
      </c>
      <c r="K134" s="79" t="s">
        <v>223</v>
      </c>
      <c r="Z134" s="37">
        <f>IF(AQ134="5",BJ134,0)</f>
        <v>0</v>
      </c>
      <c r="AB134" s="37">
        <f>IF(AQ134="1",BH134,0)</f>
        <v>0</v>
      </c>
      <c r="AC134" s="37">
        <f>IF(AQ134="1",BI134,0)</f>
        <v>0</v>
      </c>
      <c r="AD134" s="37">
        <f>IF(AQ134="7",BH134,0)</f>
        <v>0</v>
      </c>
      <c r="AE134" s="37">
        <f>IF(AQ134="7",BI134,0)</f>
        <v>0</v>
      </c>
      <c r="AF134" s="37">
        <f>IF(AQ134="2",BH134,0)</f>
        <v>0</v>
      </c>
      <c r="AG134" s="37">
        <f>IF(AQ134="2",BI134,0)</f>
        <v>0</v>
      </c>
      <c r="AH134" s="37">
        <f>IF(AQ134="0",BJ134,0)</f>
        <v>0</v>
      </c>
      <c r="AI134" s="49" t="s">
        <v>89</v>
      </c>
      <c r="AJ134" s="37">
        <f>IF(AN134=0,J134,0)</f>
        <v>0</v>
      </c>
      <c r="AK134" s="37">
        <f>IF(AN134=12,J134,0)</f>
        <v>0</v>
      </c>
      <c r="AL134" s="37">
        <f>IF(AN134=21,J134,0)</f>
        <v>0</v>
      </c>
      <c r="AN134" s="37">
        <v>21</v>
      </c>
      <c r="AO134" s="37">
        <f>G134*0.772921369</f>
        <v>0</v>
      </c>
      <c r="AP134" s="37">
        <f>G134*(1-0.772921369)</f>
        <v>0</v>
      </c>
      <c r="AQ134" s="72" t="s">
        <v>243</v>
      </c>
      <c r="AV134" s="37">
        <f>AW134+AX134</f>
        <v>0</v>
      </c>
      <c r="AW134" s="37">
        <f>F134*AO134</f>
        <v>0</v>
      </c>
      <c r="AX134" s="37">
        <f>F134*AP134</f>
        <v>0</v>
      </c>
      <c r="AY134" s="72" t="s">
        <v>525</v>
      </c>
      <c r="AZ134" s="72" t="s">
        <v>526</v>
      </c>
      <c r="BA134" s="49" t="s">
        <v>226</v>
      </c>
      <c r="BC134" s="37">
        <f>AW134+AX134</f>
        <v>0</v>
      </c>
      <c r="BD134" s="37">
        <f>G134/(100-BE134)*100</f>
        <v>0</v>
      </c>
      <c r="BE134" s="37">
        <v>0</v>
      </c>
      <c r="BF134" s="37">
        <f>134</f>
        <v>134</v>
      </c>
      <c r="BH134" s="37">
        <f>F134*AO134</f>
        <v>0</v>
      </c>
      <c r="BI134" s="37">
        <f>F134*AP134</f>
        <v>0</v>
      </c>
      <c r="BJ134" s="37">
        <f>F134*G134</f>
        <v>0</v>
      </c>
      <c r="BK134" s="37"/>
      <c r="BL134" s="37">
        <v>711</v>
      </c>
      <c r="BW134" s="37">
        <v>21</v>
      </c>
      <c r="BX134" s="3" t="s">
        <v>532</v>
      </c>
    </row>
    <row r="135" spans="1:76" x14ac:dyDescent="0.25">
      <c r="A135" s="1" t="s">
        <v>533</v>
      </c>
      <c r="B135" s="2" t="s">
        <v>534</v>
      </c>
      <c r="C135" s="279" t="s">
        <v>535</v>
      </c>
      <c r="D135" s="280"/>
      <c r="E135" s="2" t="s">
        <v>249</v>
      </c>
      <c r="F135" s="37">
        <v>19.29</v>
      </c>
      <c r="G135" s="78">
        <v>0</v>
      </c>
      <c r="H135" s="37">
        <f>F135*AO135</f>
        <v>0</v>
      </c>
      <c r="I135" s="37">
        <f>F135*AP135</f>
        <v>0</v>
      </c>
      <c r="J135" s="37">
        <f>F135*G135</f>
        <v>0</v>
      </c>
      <c r="K135" s="79" t="s">
        <v>223</v>
      </c>
      <c r="Z135" s="37">
        <f>IF(AQ135="5",BJ135,0)</f>
        <v>0</v>
      </c>
      <c r="AB135" s="37">
        <f>IF(AQ135="1",BH135,0)</f>
        <v>0</v>
      </c>
      <c r="AC135" s="37">
        <f>IF(AQ135="1",BI135,0)</f>
        <v>0</v>
      </c>
      <c r="AD135" s="37">
        <f>IF(AQ135="7",BH135,0)</f>
        <v>0</v>
      </c>
      <c r="AE135" s="37">
        <f>IF(AQ135="7",BI135,0)</f>
        <v>0</v>
      </c>
      <c r="AF135" s="37">
        <f>IF(AQ135="2",BH135,0)</f>
        <v>0</v>
      </c>
      <c r="AG135" s="37">
        <f>IF(AQ135="2",BI135,0)</f>
        <v>0</v>
      </c>
      <c r="AH135" s="37">
        <f>IF(AQ135="0",BJ135,0)</f>
        <v>0</v>
      </c>
      <c r="AI135" s="49" t="s">
        <v>89</v>
      </c>
      <c r="AJ135" s="37">
        <f>IF(AN135=0,J135,0)</f>
        <v>0</v>
      </c>
      <c r="AK135" s="37">
        <f>IF(AN135=12,J135,0)</f>
        <v>0</v>
      </c>
      <c r="AL135" s="37">
        <f>IF(AN135=21,J135,0)</f>
        <v>0</v>
      </c>
      <c r="AN135" s="37">
        <v>21</v>
      </c>
      <c r="AO135" s="37">
        <f>G135*0.736870072</f>
        <v>0</v>
      </c>
      <c r="AP135" s="37">
        <f>G135*(1-0.736870072)</f>
        <v>0</v>
      </c>
      <c r="AQ135" s="72" t="s">
        <v>243</v>
      </c>
      <c r="AV135" s="37">
        <f>AW135+AX135</f>
        <v>0</v>
      </c>
      <c r="AW135" s="37">
        <f>F135*AO135</f>
        <v>0</v>
      </c>
      <c r="AX135" s="37">
        <f>F135*AP135</f>
        <v>0</v>
      </c>
      <c r="AY135" s="72" t="s">
        <v>525</v>
      </c>
      <c r="AZ135" s="72" t="s">
        <v>526</v>
      </c>
      <c r="BA135" s="49" t="s">
        <v>226</v>
      </c>
      <c r="BC135" s="37">
        <f>AW135+AX135</f>
        <v>0</v>
      </c>
      <c r="BD135" s="37">
        <f>G135/(100-BE135)*100</f>
        <v>0</v>
      </c>
      <c r="BE135" s="37">
        <v>0</v>
      </c>
      <c r="BF135" s="37">
        <f>135</f>
        <v>135</v>
      </c>
      <c r="BH135" s="37">
        <f>F135*AO135</f>
        <v>0</v>
      </c>
      <c r="BI135" s="37">
        <f>F135*AP135</f>
        <v>0</v>
      </c>
      <c r="BJ135" s="37">
        <f>F135*G135</f>
        <v>0</v>
      </c>
      <c r="BK135" s="37"/>
      <c r="BL135" s="37">
        <v>711</v>
      </c>
      <c r="BW135" s="37">
        <v>21</v>
      </c>
      <c r="BX135" s="3" t="s">
        <v>535</v>
      </c>
    </row>
    <row r="136" spans="1:76" x14ac:dyDescent="0.25">
      <c r="A136" s="1" t="s">
        <v>536</v>
      </c>
      <c r="B136" s="2" t="s">
        <v>537</v>
      </c>
      <c r="C136" s="279" t="s">
        <v>538</v>
      </c>
      <c r="D136" s="280"/>
      <c r="E136" s="2" t="s">
        <v>63</v>
      </c>
      <c r="F136" s="37">
        <v>1105.8901000000001</v>
      </c>
      <c r="G136" s="78">
        <v>0</v>
      </c>
      <c r="H136" s="37">
        <f>F136*AO136</f>
        <v>0</v>
      </c>
      <c r="I136" s="37">
        <f>F136*AP136</f>
        <v>0</v>
      </c>
      <c r="J136" s="37">
        <f>F136*G136</f>
        <v>0</v>
      </c>
      <c r="K136" s="79" t="s">
        <v>223</v>
      </c>
      <c r="Z136" s="37">
        <f>IF(AQ136="5",BJ136,0)</f>
        <v>0</v>
      </c>
      <c r="AB136" s="37">
        <f>IF(AQ136="1",BH136,0)</f>
        <v>0</v>
      </c>
      <c r="AC136" s="37">
        <f>IF(AQ136="1",BI136,0)</f>
        <v>0</v>
      </c>
      <c r="AD136" s="37">
        <f>IF(AQ136="7",BH136,0)</f>
        <v>0</v>
      </c>
      <c r="AE136" s="37">
        <f>IF(AQ136="7",BI136,0)</f>
        <v>0</v>
      </c>
      <c r="AF136" s="37">
        <f>IF(AQ136="2",BH136,0)</f>
        <v>0</v>
      </c>
      <c r="AG136" s="37">
        <f>IF(AQ136="2",BI136,0)</f>
        <v>0</v>
      </c>
      <c r="AH136" s="37">
        <f>IF(AQ136="0",BJ136,0)</f>
        <v>0</v>
      </c>
      <c r="AI136" s="49" t="s">
        <v>89</v>
      </c>
      <c r="AJ136" s="37">
        <f>IF(AN136=0,J136,0)</f>
        <v>0</v>
      </c>
      <c r="AK136" s="37">
        <f>IF(AN136=12,J136,0)</f>
        <v>0</v>
      </c>
      <c r="AL136" s="37">
        <f>IF(AN136=21,J136,0)</f>
        <v>0</v>
      </c>
      <c r="AN136" s="37">
        <v>21</v>
      </c>
      <c r="AO136" s="37">
        <f>G136*0</f>
        <v>0</v>
      </c>
      <c r="AP136" s="37">
        <f>G136*(1-0)</f>
        <v>0</v>
      </c>
      <c r="AQ136" s="72" t="s">
        <v>237</v>
      </c>
      <c r="AV136" s="37">
        <f>AW136+AX136</f>
        <v>0</v>
      </c>
      <c r="AW136" s="37">
        <f>F136*AO136</f>
        <v>0</v>
      </c>
      <c r="AX136" s="37">
        <f>F136*AP136</f>
        <v>0</v>
      </c>
      <c r="AY136" s="72" t="s">
        <v>525</v>
      </c>
      <c r="AZ136" s="72" t="s">
        <v>526</v>
      </c>
      <c r="BA136" s="49" t="s">
        <v>226</v>
      </c>
      <c r="BC136" s="37">
        <f>AW136+AX136</f>
        <v>0</v>
      </c>
      <c r="BD136" s="37">
        <f>G136/(100-BE136)*100</f>
        <v>0</v>
      </c>
      <c r="BE136" s="37">
        <v>0</v>
      </c>
      <c r="BF136" s="37">
        <f>136</f>
        <v>136</v>
      </c>
      <c r="BH136" s="37">
        <f>F136*AO136</f>
        <v>0</v>
      </c>
      <c r="BI136" s="37">
        <f>F136*AP136</f>
        <v>0</v>
      </c>
      <c r="BJ136" s="37">
        <f>F136*G136</f>
        <v>0</v>
      </c>
      <c r="BK136" s="37"/>
      <c r="BL136" s="37">
        <v>711</v>
      </c>
      <c r="BW136" s="37">
        <v>21</v>
      </c>
      <c r="BX136" s="3" t="s">
        <v>538</v>
      </c>
    </row>
    <row r="137" spans="1:76" x14ac:dyDescent="0.25">
      <c r="A137" s="80" t="s">
        <v>4</v>
      </c>
      <c r="B137" s="81" t="s">
        <v>131</v>
      </c>
      <c r="C137" s="365" t="s">
        <v>132</v>
      </c>
      <c r="D137" s="366"/>
      <c r="E137" s="82" t="s">
        <v>81</v>
      </c>
      <c r="F137" s="82" t="s">
        <v>81</v>
      </c>
      <c r="G137" s="83" t="s">
        <v>81</v>
      </c>
      <c r="H137" s="43">
        <f>SUM(H138:H148)</f>
        <v>0</v>
      </c>
      <c r="I137" s="43">
        <f>SUM(I138:I148)</f>
        <v>0</v>
      </c>
      <c r="J137" s="43">
        <f>SUM(J138:J148)</f>
        <v>0</v>
      </c>
      <c r="K137" s="84" t="s">
        <v>4</v>
      </c>
      <c r="AI137" s="49" t="s">
        <v>89</v>
      </c>
      <c r="AS137" s="43">
        <f>SUM(AJ138:AJ148)</f>
        <v>0</v>
      </c>
      <c r="AT137" s="43">
        <f>SUM(AK138:AK148)</f>
        <v>0</v>
      </c>
      <c r="AU137" s="43">
        <f>SUM(AL138:AL148)</f>
        <v>0</v>
      </c>
    </row>
    <row r="138" spans="1:76" x14ac:dyDescent="0.25">
      <c r="A138" s="1" t="s">
        <v>539</v>
      </c>
      <c r="B138" s="2" t="s">
        <v>540</v>
      </c>
      <c r="C138" s="279" t="s">
        <v>541</v>
      </c>
      <c r="D138" s="280"/>
      <c r="E138" s="2" t="s">
        <v>333</v>
      </c>
      <c r="F138" s="37">
        <v>1.2</v>
      </c>
      <c r="G138" s="78">
        <v>0</v>
      </c>
      <c r="H138" s="37">
        <f t="shared" ref="H138:H148" si="200">F138*AO138</f>
        <v>0</v>
      </c>
      <c r="I138" s="37">
        <f t="shared" ref="I138:I148" si="201">F138*AP138</f>
        <v>0</v>
      </c>
      <c r="J138" s="37">
        <f t="shared" ref="J138:J148" si="202">F138*G138</f>
        <v>0</v>
      </c>
      <c r="K138" s="79" t="s">
        <v>223</v>
      </c>
      <c r="Z138" s="37">
        <f t="shared" ref="Z138:Z148" si="203">IF(AQ138="5",BJ138,0)</f>
        <v>0</v>
      </c>
      <c r="AB138" s="37">
        <f t="shared" ref="AB138:AB148" si="204">IF(AQ138="1",BH138,0)</f>
        <v>0</v>
      </c>
      <c r="AC138" s="37">
        <f t="shared" ref="AC138:AC148" si="205">IF(AQ138="1",BI138,0)</f>
        <v>0</v>
      </c>
      <c r="AD138" s="37">
        <f t="shared" ref="AD138:AD148" si="206">IF(AQ138="7",BH138,0)</f>
        <v>0</v>
      </c>
      <c r="AE138" s="37">
        <f t="shared" ref="AE138:AE148" si="207">IF(AQ138="7",BI138,0)</f>
        <v>0</v>
      </c>
      <c r="AF138" s="37">
        <f t="shared" ref="AF138:AF148" si="208">IF(AQ138="2",BH138,0)</f>
        <v>0</v>
      </c>
      <c r="AG138" s="37">
        <f t="shared" ref="AG138:AG148" si="209">IF(AQ138="2",BI138,0)</f>
        <v>0</v>
      </c>
      <c r="AH138" s="37">
        <f t="shared" ref="AH138:AH148" si="210">IF(AQ138="0",BJ138,0)</f>
        <v>0</v>
      </c>
      <c r="AI138" s="49" t="s">
        <v>89</v>
      </c>
      <c r="AJ138" s="37">
        <f t="shared" ref="AJ138:AJ148" si="211">IF(AN138=0,J138,0)</f>
        <v>0</v>
      </c>
      <c r="AK138" s="37">
        <f t="shared" ref="AK138:AK148" si="212">IF(AN138=12,J138,0)</f>
        <v>0</v>
      </c>
      <c r="AL138" s="37">
        <f t="shared" ref="AL138:AL148" si="213">IF(AN138=21,J138,0)</f>
        <v>0</v>
      </c>
      <c r="AN138" s="37">
        <v>21</v>
      </c>
      <c r="AO138" s="37">
        <f>G138*0.593390206</f>
        <v>0</v>
      </c>
      <c r="AP138" s="37">
        <f>G138*(1-0.593390206)</f>
        <v>0</v>
      </c>
      <c r="AQ138" s="72" t="s">
        <v>243</v>
      </c>
      <c r="AV138" s="37">
        <f t="shared" ref="AV138:AV148" si="214">AW138+AX138</f>
        <v>0</v>
      </c>
      <c r="AW138" s="37">
        <f t="shared" ref="AW138:AW148" si="215">F138*AO138</f>
        <v>0</v>
      </c>
      <c r="AX138" s="37">
        <f t="shared" ref="AX138:AX148" si="216">F138*AP138</f>
        <v>0</v>
      </c>
      <c r="AY138" s="72" t="s">
        <v>542</v>
      </c>
      <c r="AZ138" s="72" t="s">
        <v>526</v>
      </c>
      <c r="BA138" s="49" t="s">
        <v>226</v>
      </c>
      <c r="BC138" s="37">
        <f t="shared" ref="BC138:BC148" si="217">AW138+AX138</f>
        <v>0</v>
      </c>
      <c r="BD138" s="37">
        <f t="shared" ref="BD138:BD148" si="218">G138/(100-BE138)*100</f>
        <v>0</v>
      </c>
      <c r="BE138" s="37">
        <v>0</v>
      </c>
      <c r="BF138" s="37">
        <f>138</f>
        <v>138</v>
      </c>
      <c r="BH138" s="37">
        <f t="shared" ref="BH138:BH148" si="219">F138*AO138</f>
        <v>0</v>
      </c>
      <c r="BI138" s="37">
        <f t="shared" ref="BI138:BI148" si="220">F138*AP138</f>
        <v>0</v>
      </c>
      <c r="BJ138" s="37">
        <f t="shared" ref="BJ138:BJ148" si="221">F138*G138</f>
        <v>0</v>
      </c>
      <c r="BK138" s="37"/>
      <c r="BL138" s="37">
        <v>713</v>
      </c>
      <c r="BW138" s="37">
        <v>21</v>
      </c>
      <c r="BX138" s="3" t="s">
        <v>541</v>
      </c>
    </row>
    <row r="139" spans="1:76" x14ac:dyDescent="0.25">
      <c r="A139" s="1" t="s">
        <v>543</v>
      </c>
      <c r="B139" s="2" t="s">
        <v>544</v>
      </c>
      <c r="C139" s="279" t="s">
        <v>545</v>
      </c>
      <c r="D139" s="280"/>
      <c r="E139" s="2" t="s">
        <v>249</v>
      </c>
      <c r="F139" s="37">
        <v>116.19</v>
      </c>
      <c r="G139" s="78">
        <v>0</v>
      </c>
      <c r="H139" s="37">
        <f t="shared" si="200"/>
        <v>0</v>
      </c>
      <c r="I139" s="37">
        <f t="shared" si="201"/>
        <v>0</v>
      </c>
      <c r="J139" s="37">
        <f t="shared" si="202"/>
        <v>0</v>
      </c>
      <c r="K139" s="79" t="s">
        <v>223</v>
      </c>
      <c r="Z139" s="37">
        <f t="shared" si="203"/>
        <v>0</v>
      </c>
      <c r="AB139" s="37">
        <f t="shared" si="204"/>
        <v>0</v>
      </c>
      <c r="AC139" s="37">
        <f t="shared" si="205"/>
        <v>0</v>
      </c>
      <c r="AD139" s="37">
        <f t="shared" si="206"/>
        <v>0</v>
      </c>
      <c r="AE139" s="37">
        <f t="shared" si="207"/>
        <v>0</v>
      </c>
      <c r="AF139" s="37">
        <f t="shared" si="208"/>
        <v>0</v>
      </c>
      <c r="AG139" s="37">
        <f t="shared" si="209"/>
        <v>0</v>
      </c>
      <c r="AH139" s="37">
        <f t="shared" si="210"/>
        <v>0</v>
      </c>
      <c r="AI139" s="49" t="s">
        <v>89</v>
      </c>
      <c r="AJ139" s="37">
        <f t="shared" si="211"/>
        <v>0</v>
      </c>
      <c r="AK139" s="37">
        <f t="shared" si="212"/>
        <v>0</v>
      </c>
      <c r="AL139" s="37">
        <f t="shared" si="213"/>
        <v>0</v>
      </c>
      <c r="AN139" s="37">
        <v>21</v>
      </c>
      <c r="AO139" s="37">
        <f>G139*0</f>
        <v>0</v>
      </c>
      <c r="AP139" s="37">
        <f>G139*(1-0)</f>
        <v>0</v>
      </c>
      <c r="AQ139" s="72" t="s">
        <v>243</v>
      </c>
      <c r="AV139" s="37">
        <f t="shared" si="214"/>
        <v>0</v>
      </c>
      <c r="AW139" s="37">
        <f t="shared" si="215"/>
        <v>0</v>
      </c>
      <c r="AX139" s="37">
        <f t="shared" si="216"/>
        <v>0</v>
      </c>
      <c r="AY139" s="72" t="s">
        <v>542</v>
      </c>
      <c r="AZ139" s="72" t="s">
        <v>526</v>
      </c>
      <c r="BA139" s="49" t="s">
        <v>226</v>
      </c>
      <c r="BC139" s="37">
        <f t="shared" si="217"/>
        <v>0</v>
      </c>
      <c r="BD139" s="37">
        <f t="shared" si="218"/>
        <v>0</v>
      </c>
      <c r="BE139" s="37">
        <v>0</v>
      </c>
      <c r="BF139" s="37">
        <f>139</f>
        <v>139</v>
      </c>
      <c r="BH139" s="37">
        <f t="shared" si="219"/>
        <v>0</v>
      </c>
      <c r="BI139" s="37">
        <f t="shared" si="220"/>
        <v>0</v>
      </c>
      <c r="BJ139" s="37">
        <f t="shared" si="221"/>
        <v>0</v>
      </c>
      <c r="BK139" s="37"/>
      <c r="BL139" s="37">
        <v>713</v>
      </c>
      <c r="BW139" s="37">
        <v>21</v>
      </c>
      <c r="BX139" s="3" t="s">
        <v>545</v>
      </c>
    </row>
    <row r="140" spans="1:76" x14ac:dyDescent="0.25">
      <c r="A140" s="1" t="s">
        <v>546</v>
      </c>
      <c r="B140" s="2" t="s">
        <v>547</v>
      </c>
      <c r="C140" s="279" t="s">
        <v>548</v>
      </c>
      <c r="D140" s="280"/>
      <c r="E140" s="2" t="s">
        <v>249</v>
      </c>
      <c r="F140" s="37">
        <v>38.984999999999999</v>
      </c>
      <c r="G140" s="78">
        <v>0</v>
      </c>
      <c r="H140" s="37">
        <f t="shared" si="200"/>
        <v>0</v>
      </c>
      <c r="I140" s="37">
        <f t="shared" si="201"/>
        <v>0</v>
      </c>
      <c r="J140" s="37">
        <f t="shared" si="202"/>
        <v>0</v>
      </c>
      <c r="K140" s="79" t="s">
        <v>334</v>
      </c>
      <c r="Z140" s="37">
        <f t="shared" si="203"/>
        <v>0</v>
      </c>
      <c r="AB140" s="37">
        <f t="shared" si="204"/>
        <v>0</v>
      </c>
      <c r="AC140" s="37">
        <f t="shared" si="205"/>
        <v>0</v>
      </c>
      <c r="AD140" s="37">
        <f t="shared" si="206"/>
        <v>0</v>
      </c>
      <c r="AE140" s="37">
        <f t="shared" si="207"/>
        <v>0</v>
      </c>
      <c r="AF140" s="37">
        <f t="shared" si="208"/>
        <v>0</v>
      </c>
      <c r="AG140" s="37">
        <f t="shared" si="209"/>
        <v>0</v>
      </c>
      <c r="AH140" s="37">
        <f t="shared" si="210"/>
        <v>0</v>
      </c>
      <c r="AI140" s="49" t="s">
        <v>89</v>
      </c>
      <c r="AJ140" s="37">
        <f t="shared" si="211"/>
        <v>0</v>
      </c>
      <c r="AK140" s="37">
        <f t="shared" si="212"/>
        <v>0</v>
      </c>
      <c r="AL140" s="37">
        <f t="shared" si="213"/>
        <v>0</v>
      </c>
      <c r="AN140" s="37">
        <v>21</v>
      </c>
      <c r="AO140" s="37">
        <f>G140*1</f>
        <v>0</v>
      </c>
      <c r="AP140" s="37">
        <f>G140*(1-1)</f>
        <v>0</v>
      </c>
      <c r="AQ140" s="72" t="s">
        <v>243</v>
      </c>
      <c r="AV140" s="37">
        <f t="shared" si="214"/>
        <v>0</v>
      </c>
      <c r="AW140" s="37">
        <f t="shared" si="215"/>
        <v>0</v>
      </c>
      <c r="AX140" s="37">
        <f t="shared" si="216"/>
        <v>0</v>
      </c>
      <c r="AY140" s="72" t="s">
        <v>542</v>
      </c>
      <c r="AZ140" s="72" t="s">
        <v>526</v>
      </c>
      <c r="BA140" s="49" t="s">
        <v>226</v>
      </c>
      <c r="BC140" s="37">
        <f t="shared" si="217"/>
        <v>0</v>
      </c>
      <c r="BD140" s="37">
        <f t="shared" si="218"/>
        <v>0</v>
      </c>
      <c r="BE140" s="37">
        <v>0</v>
      </c>
      <c r="BF140" s="37">
        <f>140</f>
        <v>140</v>
      </c>
      <c r="BH140" s="37">
        <f t="shared" si="219"/>
        <v>0</v>
      </c>
      <c r="BI140" s="37">
        <f t="shared" si="220"/>
        <v>0</v>
      </c>
      <c r="BJ140" s="37">
        <f t="shared" si="221"/>
        <v>0</v>
      </c>
      <c r="BK140" s="37"/>
      <c r="BL140" s="37">
        <v>713</v>
      </c>
      <c r="BW140" s="37">
        <v>21</v>
      </c>
      <c r="BX140" s="3" t="s">
        <v>548</v>
      </c>
    </row>
    <row r="141" spans="1:76" x14ac:dyDescent="0.25">
      <c r="A141" s="1" t="s">
        <v>549</v>
      </c>
      <c r="B141" s="2" t="s">
        <v>550</v>
      </c>
      <c r="C141" s="279" t="s">
        <v>551</v>
      </c>
      <c r="D141" s="280"/>
      <c r="E141" s="2" t="s">
        <v>249</v>
      </c>
      <c r="F141" s="37">
        <v>94.633499999999998</v>
      </c>
      <c r="G141" s="78">
        <v>0</v>
      </c>
      <c r="H141" s="37">
        <f t="shared" si="200"/>
        <v>0</v>
      </c>
      <c r="I141" s="37">
        <f t="shared" si="201"/>
        <v>0</v>
      </c>
      <c r="J141" s="37">
        <f t="shared" si="202"/>
        <v>0</v>
      </c>
      <c r="K141" s="79" t="s">
        <v>334</v>
      </c>
      <c r="Z141" s="37">
        <f t="shared" si="203"/>
        <v>0</v>
      </c>
      <c r="AB141" s="37">
        <f t="shared" si="204"/>
        <v>0</v>
      </c>
      <c r="AC141" s="37">
        <f t="shared" si="205"/>
        <v>0</v>
      </c>
      <c r="AD141" s="37">
        <f t="shared" si="206"/>
        <v>0</v>
      </c>
      <c r="AE141" s="37">
        <f t="shared" si="207"/>
        <v>0</v>
      </c>
      <c r="AF141" s="37">
        <f t="shared" si="208"/>
        <v>0</v>
      </c>
      <c r="AG141" s="37">
        <f t="shared" si="209"/>
        <v>0</v>
      </c>
      <c r="AH141" s="37">
        <f t="shared" si="210"/>
        <v>0</v>
      </c>
      <c r="AI141" s="49" t="s">
        <v>89</v>
      </c>
      <c r="AJ141" s="37">
        <f t="shared" si="211"/>
        <v>0</v>
      </c>
      <c r="AK141" s="37">
        <f t="shared" si="212"/>
        <v>0</v>
      </c>
      <c r="AL141" s="37">
        <f t="shared" si="213"/>
        <v>0</v>
      </c>
      <c r="AN141" s="37">
        <v>21</v>
      </c>
      <c r="AO141" s="37">
        <f>G141*1</f>
        <v>0</v>
      </c>
      <c r="AP141" s="37">
        <f>G141*(1-1)</f>
        <v>0</v>
      </c>
      <c r="AQ141" s="72" t="s">
        <v>243</v>
      </c>
      <c r="AV141" s="37">
        <f t="shared" si="214"/>
        <v>0</v>
      </c>
      <c r="AW141" s="37">
        <f t="shared" si="215"/>
        <v>0</v>
      </c>
      <c r="AX141" s="37">
        <f t="shared" si="216"/>
        <v>0</v>
      </c>
      <c r="AY141" s="72" t="s">
        <v>542</v>
      </c>
      <c r="AZ141" s="72" t="s">
        <v>526</v>
      </c>
      <c r="BA141" s="49" t="s">
        <v>226</v>
      </c>
      <c r="BC141" s="37">
        <f t="shared" si="217"/>
        <v>0</v>
      </c>
      <c r="BD141" s="37">
        <f t="shared" si="218"/>
        <v>0</v>
      </c>
      <c r="BE141" s="37">
        <v>0</v>
      </c>
      <c r="BF141" s="37">
        <f>141</f>
        <v>141</v>
      </c>
      <c r="BH141" s="37">
        <f t="shared" si="219"/>
        <v>0</v>
      </c>
      <c r="BI141" s="37">
        <f t="shared" si="220"/>
        <v>0</v>
      </c>
      <c r="BJ141" s="37">
        <f t="shared" si="221"/>
        <v>0</v>
      </c>
      <c r="BK141" s="37"/>
      <c r="BL141" s="37">
        <v>713</v>
      </c>
      <c r="BW141" s="37">
        <v>21</v>
      </c>
      <c r="BX141" s="3" t="s">
        <v>551</v>
      </c>
    </row>
    <row r="142" spans="1:76" x14ac:dyDescent="0.25">
      <c r="A142" s="1" t="s">
        <v>552</v>
      </c>
      <c r="B142" s="2" t="s">
        <v>553</v>
      </c>
      <c r="C142" s="279" t="s">
        <v>554</v>
      </c>
      <c r="D142" s="280"/>
      <c r="E142" s="2" t="s">
        <v>249</v>
      </c>
      <c r="F142" s="37">
        <v>139.428</v>
      </c>
      <c r="G142" s="78">
        <v>0</v>
      </c>
      <c r="H142" s="37">
        <f t="shared" si="200"/>
        <v>0</v>
      </c>
      <c r="I142" s="37">
        <f t="shared" si="201"/>
        <v>0</v>
      </c>
      <c r="J142" s="37">
        <f t="shared" si="202"/>
        <v>0</v>
      </c>
      <c r="K142" s="79" t="s">
        <v>223</v>
      </c>
      <c r="Z142" s="37">
        <f t="shared" si="203"/>
        <v>0</v>
      </c>
      <c r="AB142" s="37">
        <f t="shared" si="204"/>
        <v>0</v>
      </c>
      <c r="AC142" s="37">
        <f t="shared" si="205"/>
        <v>0</v>
      </c>
      <c r="AD142" s="37">
        <f t="shared" si="206"/>
        <v>0</v>
      </c>
      <c r="AE142" s="37">
        <f t="shared" si="207"/>
        <v>0</v>
      </c>
      <c r="AF142" s="37">
        <f t="shared" si="208"/>
        <v>0</v>
      </c>
      <c r="AG142" s="37">
        <f t="shared" si="209"/>
        <v>0</v>
      </c>
      <c r="AH142" s="37">
        <f t="shared" si="210"/>
        <v>0</v>
      </c>
      <c r="AI142" s="49" t="s">
        <v>89</v>
      </c>
      <c r="AJ142" s="37">
        <f t="shared" si="211"/>
        <v>0</v>
      </c>
      <c r="AK142" s="37">
        <f t="shared" si="212"/>
        <v>0</v>
      </c>
      <c r="AL142" s="37">
        <f t="shared" si="213"/>
        <v>0</v>
      </c>
      <c r="AN142" s="37">
        <v>21</v>
      </c>
      <c r="AO142" s="37">
        <f>G142*0.208661488</f>
        <v>0</v>
      </c>
      <c r="AP142" s="37">
        <f>G142*(1-0.208661488)</f>
        <v>0</v>
      </c>
      <c r="AQ142" s="72" t="s">
        <v>243</v>
      </c>
      <c r="AV142" s="37">
        <f t="shared" si="214"/>
        <v>0</v>
      </c>
      <c r="AW142" s="37">
        <f t="shared" si="215"/>
        <v>0</v>
      </c>
      <c r="AX142" s="37">
        <f t="shared" si="216"/>
        <v>0</v>
      </c>
      <c r="AY142" s="72" t="s">
        <v>542</v>
      </c>
      <c r="AZ142" s="72" t="s">
        <v>526</v>
      </c>
      <c r="BA142" s="49" t="s">
        <v>226</v>
      </c>
      <c r="BC142" s="37">
        <f t="shared" si="217"/>
        <v>0</v>
      </c>
      <c r="BD142" s="37">
        <f t="shared" si="218"/>
        <v>0</v>
      </c>
      <c r="BE142" s="37">
        <v>0</v>
      </c>
      <c r="BF142" s="37">
        <f>142</f>
        <v>142</v>
      </c>
      <c r="BH142" s="37">
        <f t="shared" si="219"/>
        <v>0</v>
      </c>
      <c r="BI142" s="37">
        <f t="shared" si="220"/>
        <v>0</v>
      </c>
      <c r="BJ142" s="37">
        <f t="shared" si="221"/>
        <v>0</v>
      </c>
      <c r="BK142" s="37"/>
      <c r="BL142" s="37">
        <v>713</v>
      </c>
      <c r="BW142" s="37">
        <v>21</v>
      </c>
      <c r="BX142" s="3" t="s">
        <v>554</v>
      </c>
    </row>
    <row r="143" spans="1:76" x14ac:dyDescent="0.25">
      <c r="A143" s="1" t="s">
        <v>555</v>
      </c>
      <c r="B143" s="2" t="s">
        <v>556</v>
      </c>
      <c r="C143" s="279" t="s">
        <v>557</v>
      </c>
      <c r="D143" s="280"/>
      <c r="E143" s="2" t="s">
        <v>333</v>
      </c>
      <c r="F143" s="37">
        <v>52.5</v>
      </c>
      <c r="G143" s="78">
        <v>0</v>
      </c>
      <c r="H143" s="37">
        <f t="shared" si="200"/>
        <v>0</v>
      </c>
      <c r="I143" s="37">
        <f t="shared" si="201"/>
        <v>0</v>
      </c>
      <c r="J143" s="37">
        <f t="shared" si="202"/>
        <v>0</v>
      </c>
      <c r="K143" s="79" t="s">
        <v>223</v>
      </c>
      <c r="Z143" s="37">
        <f t="shared" si="203"/>
        <v>0</v>
      </c>
      <c r="AB143" s="37">
        <f t="shared" si="204"/>
        <v>0</v>
      </c>
      <c r="AC143" s="37">
        <f t="shared" si="205"/>
        <v>0</v>
      </c>
      <c r="AD143" s="37">
        <f t="shared" si="206"/>
        <v>0</v>
      </c>
      <c r="AE143" s="37">
        <f t="shared" si="207"/>
        <v>0</v>
      </c>
      <c r="AF143" s="37">
        <f t="shared" si="208"/>
        <v>0</v>
      </c>
      <c r="AG143" s="37">
        <f t="shared" si="209"/>
        <v>0</v>
      </c>
      <c r="AH143" s="37">
        <f t="shared" si="210"/>
        <v>0</v>
      </c>
      <c r="AI143" s="49" t="s">
        <v>89</v>
      </c>
      <c r="AJ143" s="37">
        <f t="shared" si="211"/>
        <v>0</v>
      </c>
      <c r="AK143" s="37">
        <f t="shared" si="212"/>
        <v>0</v>
      </c>
      <c r="AL143" s="37">
        <f t="shared" si="213"/>
        <v>0</v>
      </c>
      <c r="AN143" s="37">
        <v>21</v>
      </c>
      <c r="AO143" s="37">
        <f>G143*0.660756501</f>
        <v>0</v>
      </c>
      <c r="AP143" s="37">
        <f>G143*(1-0.660756501)</f>
        <v>0</v>
      </c>
      <c r="AQ143" s="72" t="s">
        <v>243</v>
      </c>
      <c r="AV143" s="37">
        <f t="shared" si="214"/>
        <v>0</v>
      </c>
      <c r="AW143" s="37">
        <f t="shared" si="215"/>
        <v>0</v>
      </c>
      <c r="AX143" s="37">
        <f t="shared" si="216"/>
        <v>0</v>
      </c>
      <c r="AY143" s="72" t="s">
        <v>542</v>
      </c>
      <c r="AZ143" s="72" t="s">
        <v>526</v>
      </c>
      <c r="BA143" s="49" t="s">
        <v>226</v>
      </c>
      <c r="BC143" s="37">
        <f t="shared" si="217"/>
        <v>0</v>
      </c>
      <c r="BD143" s="37">
        <f t="shared" si="218"/>
        <v>0</v>
      </c>
      <c r="BE143" s="37">
        <v>0</v>
      </c>
      <c r="BF143" s="37">
        <f>143</f>
        <v>143</v>
      </c>
      <c r="BH143" s="37">
        <f t="shared" si="219"/>
        <v>0</v>
      </c>
      <c r="BI143" s="37">
        <f t="shared" si="220"/>
        <v>0</v>
      </c>
      <c r="BJ143" s="37">
        <f t="shared" si="221"/>
        <v>0</v>
      </c>
      <c r="BK143" s="37"/>
      <c r="BL143" s="37">
        <v>713</v>
      </c>
      <c r="BW143" s="37">
        <v>21</v>
      </c>
      <c r="BX143" s="3" t="s">
        <v>557</v>
      </c>
    </row>
    <row r="144" spans="1:76" x14ac:dyDescent="0.25">
      <c r="A144" s="1" t="s">
        <v>558</v>
      </c>
      <c r="B144" s="2" t="s">
        <v>559</v>
      </c>
      <c r="C144" s="279" t="s">
        <v>560</v>
      </c>
      <c r="D144" s="280"/>
      <c r="E144" s="2" t="s">
        <v>249</v>
      </c>
      <c r="F144" s="37">
        <v>616.32000000000005</v>
      </c>
      <c r="G144" s="78">
        <v>0</v>
      </c>
      <c r="H144" s="37">
        <f t="shared" si="200"/>
        <v>0</v>
      </c>
      <c r="I144" s="37">
        <f t="shared" si="201"/>
        <v>0</v>
      </c>
      <c r="J144" s="37">
        <f t="shared" si="202"/>
        <v>0</v>
      </c>
      <c r="K144" s="79" t="s">
        <v>223</v>
      </c>
      <c r="Z144" s="37">
        <f t="shared" si="203"/>
        <v>0</v>
      </c>
      <c r="AB144" s="37">
        <f t="shared" si="204"/>
        <v>0</v>
      </c>
      <c r="AC144" s="37">
        <f t="shared" si="205"/>
        <v>0</v>
      </c>
      <c r="AD144" s="37">
        <f t="shared" si="206"/>
        <v>0</v>
      </c>
      <c r="AE144" s="37">
        <f t="shared" si="207"/>
        <v>0</v>
      </c>
      <c r="AF144" s="37">
        <f t="shared" si="208"/>
        <v>0</v>
      </c>
      <c r="AG144" s="37">
        <f t="shared" si="209"/>
        <v>0</v>
      </c>
      <c r="AH144" s="37">
        <f t="shared" si="210"/>
        <v>0</v>
      </c>
      <c r="AI144" s="49" t="s">
        <v>89</v>
      </c>
      <c r="AJ144" s="37">
        <f t="shared" si="211"/>
        <v>0</v>
      </c>
      <c r="AK144" s="37">
        <f t="shared" si="212"/>
        <v>0</v>
      </c>
      <c r="AL144" s="37">
        <f t="shared" si="213"/>
        <v>0</v>
      </c>
      <c r="AN144" s="37">
        <v>21</v>
      </c>
      <c r="AO144" s="37">
        <f>G144*0</f>
        <v>0</v>
      </c>
      <c r="AP144" s="37">
        <f>G144*(1-0)</f>
        <v>0</v>
      </c>
      <c r="AQ144" s="72" t="s">
        <v>243</v>
      </c>
      <c r="AV144" s="37">
        <f t="shared" si="214"/>
        <v>0</v>
      </c>
      <c r="AW144" s="37">
        <f t="shared" si="215"/>
        <v>0</v>
      </c>
      <c r="AX144" s="37">
        <f t="shared" si="216"/>
        <v>0</v>
      </c>
      <c r="AY144" s="72" t="s">
        <v>542</v>
      </c>
      <c r="AZ144" s="72" t="s">
        <v>526</v>
      </c>
      <c r="BA144" s="49" t="s">
        <v>226</v>
      </c>
      <c r="BC144" s="37">
        <f t="shared" si="217"/>
        <v>0</v>
      </c>
      <c r="BD144" s="37">
        <f t="shared" si="218"/>
        <v>0</v>
      </c>
      <c r="BE144" s="37">
        <v>0</v>
      </c>
      <c r="BF144" s="37">
        <f>144</f>
        <v>144</v>
      </c>
      <c r="BH144" s="37">
        <f t="shared" si="219"/>
        <v>0</v>
      </c>
      <c r="BI144" s="37">
        <f t="shared" si="220"/>
        <v>0</v>
      </c>
      <c r="BJ144" s="37">
        <f t="shared" si="221"/>
        <v>0</v>
      </c>
      <c r="BK144" s="37"/>
      <c r="BL144" s="37">
        <v>713</v>
      </c>
      <c r="BW144" s="37">
        <v>21</v>
      </c>
      <c r="BX144" s="3" t="s">
        <v>560</v>
      </c>
    </row>
    <row r="145" spans="1:76" x14ac:dyDescent="0.25">
      <c r="A145" s="1" t="s">
        <v>561</v>
      </c>
      <c r="B145" s="2" t="s">
        <v>562</v>
      </c>
      <c r="C145" s="279" t="s">
        <v>563</v>
      </c>
      <c r="D145" s="280"/>
      <c r="E145" s="2" t="s">
        <v>249</v>
      </c>
      <c r="F145" s="37">
        <v>665.62559999999996</v>
      </c>
      <c r="G145" s="78">
        <v>0</v>
      </c>
      <c r="H145" s="37">
        <f t="shared" si="200"/>
        <v>0</v>
      </c>
      <c r="I145" s="37">
        <f t="shared" si="201"/>
        <v>0</v>
      </c>
      <c r="J145" s="37">
        <f t="shared" si="202"/>
        <v>0</v>
      </c>
      <c r="K145" s="79" t="s">
        <v>334</v>
      </c>
      <c r="Z145" s="37">
        <f t="shared" si="203"/>
        <v>0</v>
      </c>
      <c r="AB145" s="37">
        <f t="shared" si="204"/>
        <v>0</v>
      </c>
      <c r="AC145" s="37">
        <f t="shared" si="205"/>
        <v>0</v>
      </c>
      <c r="AD145" s="37">
        <f t="shared" si="206"/>
        <v>0</v>
      </c>
      <c r="AE145" s="37">
        <f t="shared" si="207"/>
        <v>0</v>
      </c>
      <c r="AF145" s="37">
        <f t="shared" si="208"/>
        <v>0</v>
      </c>
      <c r="AG145" s="37">
        <f t="shared" si="209"/>
        <v>0</v>
      </c>
      <c r="AH145" s="37">
        <f t="shared" si="210"/>
        <v>0</v>
      </c>
      <c r="AI145" s="49" t="s">
        <v>89</v>
      </c>
      <c r="AJ145" s="37">
        <f t="shared" si="211"/>
        <v>0</v>
      </c>
      <c r="AK145" s="37">
        <f t="shared" si="212"/>
        <v>0</v>
      </c>
      <c r="AL145" s="37">
        <f t="shared" si="213"/>
        <v>0</v>
      </c>
      <c r="AN145" s="37">
        <v>21</v>
      </c>
      <c r="AO145" s="37">
        <f>G145*1</f>
        <v>0</v>
      </c>
      <c r="AP145" s="37">
        <f>G145*(1-1)</f>
        <v>0</v>
      </c>
      <c r="AQ145" s="72" t="s">
        <v>243</v>
      </c>
      <c r="AV145" s="37">
        <f t="shared" si="214"/>
        <v>0</v>
      </c>
      <c r="AW145" s="37">
        <f t="shared" si="215"/>
        <v>0</v>
      </c>
      <c r="AX145" s="37">
        <f t="shared" si="216"/>
        <v>0</v>
      </c>
      <c r="AY145" s="72" t="s">
        <v>542</v>
      </c>
      <c r="AZ145" s="72" t="s">
        <v>526</v>
      </c>
      <c r="BA145" s="49" t="s">
        <v>226</v>
      </c>
      <c r="BC145" s="37">
        <f t="shared" si="217"/>
        <v>0</v>
      </c>
      <c r="BD145" s="37">
        <f t="shared" si="218"/>
        <v>0</v>
      </c>
      <c r="BE145" s="37">
        <v>0</v>
      </c>
      <c r="BF145" s="37">
        <f>145</f>
        <v>145</v>
      </c>
      <c r="BH145" s="37">
        <f t="shared" si="219"/>
        <v>0</v>
      </c>
      <c r="BI145" s="37">
        <f t="shared" si="220"/>
        <v>0</v>
      </c>
      <c r="BJ145" s="37">
        <f t="shared" si="221"/>
        <v>0</v>
      </c>
      <c r="BK145" s="37"/>
      <c r="BL145" s="37">
        <v>713</v>
      </c>
      <c r="BW145" s="37">
        <v>21</v>
      </c>
      <c r="BX145" s="3" t="s">
        <v>563</v>
      </c>
    </row>
    <row r="146" spans="1:76" x14ac:dyDescent="0.25">
      <c r="A146" s="1" t="s">
        <v>564</v>
      </c>
      <c r="B146" s="2" t="s">
        <v>565</v>
      </c>
      <c r="C146" s="279" t="s">
        <v>566</v>
      </c>
      <c r="D146" s="280"/>
      <c r="E146" s="2" t="s">
        <v>249</v>
      </c>
      <c r="F146" s="37">
        <v>204.61199999999999</v>
      </c>
      <c r="G146" s="78">
        <v>0</v>
      </c>
      <c r="H146" s="37">
        <f t="shared" si="200"/>
        <v>0</v>
      </c>
      <c r="I146" s="37">
        <f t="shared" si="201"/>
        <v>0</v>
      </c>
      <c r="J146" s="37">
        <f t="shared" si="202"/>
        <v>0</v>
      </c>
      <c r="K146" s="79" t="s">
        <v>223</v>
      </c>
      <c r="Z146" s="37">
        <f t="shared" si="203"/>
        <v>0</v>
      </c>
      <c r="AB146" s="37">
        <f t="shared" si="204"/>
        <v>0</v>
      </c>
      <c r="AC146" s="37">
        <f t="shared" si="205"/>
        <v>0</v>
      </c>
      <c r="AD146" s="37">
        <f t="shared" si="206"/>
        <v>0</v>
      </c>
      <c r="AE146" s="37">
        <f t="shared" si="207"/>
        <v>0</v>
      </c>
      <c r="AF146" s="37">
        <f t="shared" si="208"/>
        <v>0</v>
      </c>
      <c r="AG146" s="37">
        <f t="shared" si="209"/>
        <v>0</v>
      </c>
      <c r="AH146" s="37">
        <f t="shared" si="210"/>
        <v>0</v>
      </c>
      <c r="AI146" s="49" t="s">
        <v>89</v>
      </c>
      <c r="AJ146" s="37">
        <f t="shared" si="211"/>
        <v>0</v>
      </c>
      <c r="AK146" s="37">
        <f t="shared" si="212"/>
        <v>0</v>
      </c>
      <c r="AL146" s="37">
        <f t="shared" si="213"/>
        <v>0</v>
      </c>
      <c r="AN146" s="37">
        <v>21</v>
      </c>
      <c r="AO146" s="37">
        <f>G146*0.461348921</f>
        <v>0</v>
      </c>
      <c r="AP146" s="37">
        <f>G146*(1-0.461348921)</f>
        <v>0</v>
      </c>
      <c r="AQ146" s="72" t="s">
        <v>243</v>
      </c>
      <c r="AV146" s="37">
        <f t="shared" si="214"/>
        <v>0</v>
      </c>
      <c r="AW146" s="37">
        <f t="shared" si="215"/>
        <v>0</v>
      </c>
      <c r="AX146" s="37">
        <f t="shared" si="216"/>
        <v>0</v>
      </c>
      <c r="AY146" s="72" t="s">
        <v>542</v>
      </c>
      <c r="AZ146" s="72" t="s">
        <v>526</v>
      </c>
      <c r="BA146" s="49" t="s">
        <v>226</v>
      </c>
      <c r="BC146" s="37">
        <f t="shared" si="217"/>
        <v>0</v>
      </c>
      <c r="BD146" s="37">
        <f t="shared" si="218"/>
        <v>0</v>
      </c>
      <c r="BE146" s="37">
        <v>0</v>
      </c>
      <c r="BF146" s="37">
        <f>146</f>
        <v>146</v>
      </c>
      <c r="BH146" s="37">
        <f t="shared" si="219"/>
        <v>0</v>
      </c>
      <c r="BI146" s="37">
        <f t="shared" si="220"/>
        <v>0</v>
      </c>
      <c r="BJ146" s="37">
        <f t="shared" si="221"/>
        <v>0</v>
      </c>
      <c r="BK146" s="37"/>
      <c r="BL146" s="37">
        <v>713</v>
      </c>
      <c r="BW146" s="37">
        <v>21</v>
      </c>
      <c r="BX146" s="3" t="s">
        <v>566</v>
      </c>
    </row>
    <row r="147" spans="1:76" x14ac:dyDescent="0.25">
      <c r="A147" s="1" t="s">
        <v>567</v>
      </c>
      <c r="B147" s="2" t="s">
        <v>568</v>
      </c>
      <c r="C147" s="279" t="s">
        <v>569</v>
      </c>
      <c r="D147" s="280"/>
      <c r="E147" s="2" t="s">
        <v>249</v>
      </c>
      <c r="F147" s="37">
        <v>7.3301999999999996</v>
      </c>
      <c r="G147" s="78">
        <v>0</v>
      </c>
      <c r="H147" s="37">
        <f t="shared" si="200"/>
        <v>0</v>
      </c>
      <c r="I147" s="37">
        <f t="shared" si="201"/>
        <v>0</v>
      </c>
      <c r="J147" s="37">
        <f t="shared" si="202"/>
        <v>0</v>
      </c>
      <c r="K147" s="79" t="s">
        <v>223</v>
      </c>
      <c r="Z147" s="37">
        <f t="shared" si="203"/>
        <v>0</v>
      </c>
      <c r="AB147" s="37">
        <f t="shared" si="204"/>
        <v>0</v>
      </c>
      <c r="AC147" s="37">
        <f t="shared" si="205"/>
        <v>0</v>
      </c>
      <c r="AD147" s="37">
        <f t="shared" si="206"/>
        <v>0</v>
      </c>
      <c r="AE147" s="37">
        <f t="shared" si="207"/>
        <v>0</v>
      </c>
      <c r="AF147" s="37">
        <f t="shared" si="208"/>
        <v>0</v>
      </c>
      <c r="AG147" s="37">
        <f t="shared" si="209"/>
        <v>0</v>
      </c>
      <c r="AH147" s="37">
        <f t="shared" si="210"/>
        <v>0</v>
      </c>
      <c r="AI147" s="49" t="s">
        <v>89</v>
      </c>
      <c r="AJ147" s="37">
        <f t="shared" si="211"/>
        <v>0</v>
      </c>
      <c r="AK147" s="37">
        <f t="shared" si="212"/>
        <v>0</v>
      </c>
      <c r="AL147" s="37">
        <f t="shared" si="213"/>
        <v>0</v>
      </c>
      <c r="AN147" s="37">
        <v>21</v>
      </c>
      <c r="AO147" s="37">
        <f>G147*0.593237581</f>
        <v>0</v>
      </c>
      <c r="AP147" s="37">
        <f>G147*(1-0.593237581)</f>
        <v>0</v>
      </c>
      <c r="AQ147" s="72" t="s">
        <v>243</v>
      </c>
      <c r="AV147" s="37">
        <f t="shared" si="214"/>
        <v>0</v>
      </c>
      <c r="AW147" s="37">
        <f t="shared" si="215"/>
        <v>0</v>
      </c>
      <c r="AX147" s="37">
        <f t="shared" si="216"/>
        <v>0</v>
      </c>
      <c r="AY147" s="72" t="s">
        <v>542</v>
      </c>
      <c r="AZ147" s="72" t="s">
        <v>526</v>
      </c>
      <c r="BA147" s="49" t="s">
        <v>226</v>
      </c>
      <c r="BC147" s="37">
        <f t="shared" si="217"/>
        <v>0</v>
      </c>
      <c r="BD147" s="37">
        <f t="shared" si="218"/>
        <v>0</v>
      </c>
      <c r="BE147" s="37">
        <v>0</v>
      </c>
      <c r="BF147" s="37">
        <f>147</f>
        <v>147</v>
      </c>
      <c r="BH147" s="37">
        <f t="shared" si="219"/>
        <v>0</v>
      </c>
      <c r="BI147" s="37">
        <f t="shared" si="220"/>
        <v>0</v>
      </c>
      <c r="BJ147" s="37">
        <f t="shared" si="221"/>
        <v>0</v>
      </c>
      <c r="BK147" s="37"/>
      <c r="BL147" s="37">
        <v>713</v>
      </c>
      <c r="BW147" s="37">
        <v>21</v>
      </c>
      <c r="BX147" s="3" t="s">
        <v>569</v>
      </c>
    </row>
    <row r="148" spans="1:76" x14ac:dyDescent="0.25">
      <c r="A148" s="1" t="s">
        <v>570</v>
      </c>
      <c r="B148" s="2" t="s">
        <v>571</v>
      </c>
      <c r="C148" s="279" t="s">
        <v>572</v>
      </c>
      <c r="D148" s="280"/>
      <c r="E148" s="2" t="s">
        <v>63</v>
      </c>
      <c r="F148" s="37">
        <v>5899.5636999999997</v>
      </c>
      <c r="G148" s="78">
        <v>0</v>
      </c>
      <c r="H148" s="37">
        <f t="shared" si="200"/>
        <v>0</v>
      </c>
      <c r="I148" s="37">
        <f t="shared" si="201"/>
        <v>0</v>
      </c>
      <c r="J148" s="37">
        <f t="shared" si="202"/>
        <v>0</v>
      </c>
      <c r="K148" s="79" t="s">
        <v>223</v>
      </c>
      <c r="Z148" s="37">
        <f t="shared" si="203"/>
        <v>0</v>
      </c>
      <c r="AB148" s="37">
        <f t="shared" si="204"/>
        <v>0</v>
      </c>
      <c r="AC148" s="37">
        <f t="shared" si="205"/>
        <v>0</v>
      </c>
      <c r="AD148" s="37">
        <f t="shared" si="206"/>
        <v>0</v>
      </c>
      <c r="AE148" s="37">
        <f t="shared" si="207"/>
        <v>0</v>
      </c>
      <c r="AF148" s="37">
        <f t="shared" si="208"/>
        <v>0</v>
      </c>
      <c r="AG148" s="37">
        <f t="shared" si="209"/>
        <v>0</v>
      </c>
      <c r="AH148" s="37">
        <f t="shared" si="210"/>
        <v>0</v>
      </c>
      <c r="AI148" s="49" t="s">
        <v>89</v>
      </c>
      <c r="AJ148" s="37">
        <f t="shared" si="211"/>
        <v>0</v>
      </c>
      <c r="AK148" s="37">
        <f t="shared" si="212"/>
        <v>0</v>
      </c>
      <c r="AL148" s="37">
        <f t="shared" si="213"/>
        <v>0</v>
      </c>
      <c r="AN148" s="37">
        <v>21</v>
      </c>
      <c r="AO148" s="37">
        <f>G148*0</f>
        <v>0</v>
      </c>
      <c r="AP148" s="37">
        <f>G148*(1-0)</f>
        <v>0</v>
      </c>
      <c r="AQ148" s="72" t="s">
        <v>237</v>
      </c>
      <c r="AV148" s="37">
        <f t="shared" si="214"/>
        <v>0</v>
      </c>
      <c r="AW148" s="37">
        <f t="shared" si="215"/>
        <v>0</v>
      </c>
      <c r="AX148" s="37">
        <f t="shared" si="216"/>
        <v>0</v>
      </c>
      <c r="AY148" s="72" t="s">
        <v>542</v>
      </c>
      <c r="AZ148" s="72" t="s">
        <v>526</v>
      </c>
      <c r="BA148" s="49" t="s">
        <v>226</v>
      </c>
      <c r="BC148" s="37">
        <f t="shared" si="217"/>
        <v>0</v>
      </c>
      <c r="BD148" s="37">
        <f t="shared" si="218"/>
        <v>0</v>
      </c>
      <c r="BE148" s="37">
        <v>0</v>
      </c>
      <c r="BF148" s="37">
        <f>148</f>
        <v>148</v>
      </c>
      <c r="BH148" s="37">
        <f t="shared" si="219"/>
        <v>0</v>
      </c>
      <c r="BI148" s="37">
        <f t="shared" si="220"/>
        <v>0</v>
      </c>
      <c r="BJ148" s="37">
        <f t="shared" si="221"/>
        <v>0</v>
      </c>
      <c r="BK148" s="37"/>
      <c r="BL148" s="37">
        <v>713</v>
      </c>
      <c r="BW148" s="37">
        <v>21</v>
      </c>
      <c r="BX148" s="3" t="s">
        <v>572</v>
      </c>
    </row>
    <row r="149" spans="1:76" x14ac:dyDescent="0.25">
      <c r="A149" s="80" t="s">
        <v>4</v>
      </c>
      <c r="B149" s="81" t="s">
        <v>133</v>
      </c>
      <c r="C149" s="365" t="s">
        <v>134</v>
      </c>
      <c r="D149" s="366"/>
      <c r="E149" s="82" t="s">
        <v>81</v>
      </c>
      <c r="F149" s="82" t="s">
        <v>81</v>
      </c>
      <c r="G149" s="83" t="s">
        <v>81</v>
      </c>
      <c r="H149" s="43">
        <f>SUM(H150:H168)</f>
        <v>0</v>
      </c>
      <c r="I149" s="43">
        <f>SUM(I150:I168)</f>
        <v>0</v>
      </c>
      <c r="J149" s="43">
        <f>SUM(J150:J168)</f>
        <v>0</v>
      </c>
      <c r="K149" s="84" t="s">
        <v>4</v>
      </c>
      <c r="AI149" s="49" t="s">
        <v>89</v>
      </c>
      <c r="AS149" s="43">
        <f>SUM(AJ150:AJ168)</f>
        <v>0</v>
      </c>
      <c r="AT149" s="43">
        <f>SUM(AK150:AK168)</f>
        <v>0</v>
      </c>
      <c r="AU149" s="43">
        <f>SUM(AL150:AL168)</f>
        <v>0</v>
      </c>
    </row>
    <row r="150" spans="1:76" x14ac:dyDescent="0.25">
      <c r="A150" s="1" t="s">
        <v>573</v>
      </c>
      <c r="B150" s="2" t="s">
        <v>574</v>
      </c>
      <c r="C150" s="279" t="s">
        <v>575</v>
      </c>
      <c r="D150" s="280"/>
      <c r="E150" s="2" t="s">
        <v>333</v>
      </c>
      <c r="F150" s="37">
        <v>22.1</v>
      </c>
      <c r="G150" s="78">
        <v>0</v>
      </c>
      <c r="H150" s="37">
        <f t="shared" ref="H150:H168" si="222">F150*AO150</f>
        <v>0</v>
      </c>
      <c r="I150" s="37">
        <f t="shared" ref="I150:I168" si="223">F150*AP150</f>
        <v>0</v>
      </c>
      <c r="J150" s="37">
        <f t="shared" ref="J150:J168" si="224">F150*G150</f>
        <v>0</v>
      </c>
      <c r="K150" s="79" t="s">
        <v>223</v>
      </c>
      <c r="Z150" s="37">
        <f t="shared" ref="Z150:Z168" si="225">IF(AQ150="5",BJ150,0)</f>
        <v>0</v>
      </c>
      <c r="AB150" s="37">
        <f t="shared" ref="AB150:AB168" si="226">IF(AQ150="1",BH150,0)</f>
        <v>0</v>
      </c>
      <c r="AC150" s="37">
        <f t="shared" ref="AC150:AC168" si="227">IF(AQ150="1",BI150,0)</f>
        <v>0</v>
      </c>
      <c r="AD150" s="37">
        <f t="shared" ref="AD150:AD168" si="228">IF(AQ150="7",BH150,0)</f>
        <v>0</v>
      </c>
      <c r="AE150" s="37">
        <f t="shared" ref="AE150:AE168" si="229">IF(AQ150="7",BI150,0)</f>
        <v>0</v>
      </c>
      <c r="AF150" s="37">
        <f t="shared" ref="AF150:AF168" si="230">IF(AQ150="2",BH150,0)</f>
        <v>0</v>
      </c>
      <c r="AG150" s="37">
        <f t="shared" ref="AG150:AG168" si="231">IF(AQ150="2",BI150,0)</f>
        <v>0</v>
      </c>
      <c r="AH150" s="37">
        <f t="shared" ref="AH150:AH168" si="232">IF(AQ150="0",BJ150,0)</f>
        <v>0</v>
      </c>
      <c r="AI150" s="49" t="s">
        <v>89</v>
      </c>
      <c r="AJ150" s="37">
        <f t="shared" ref="AJ150:AJ168" si="233">IF(AN150=0,J150,0)</f>
        <v>0</v>
      </c>
      <c r="AK150" s="37">
        <f t="shared" ref="AK150:AK168" si="234">IF(AN150=12,J150,0)</f>
        <v>0</v>
      </c>
      <c r="AL150" s="37">
        <f t="shared" ref="AL150:AL168" si="235">IF(AN150=21,J150,0)</f>
        <v>0</v>
      </c>
      <c r="AN150" s="37">
        <v>21</v>
      </c>
      <c r="AO150" s="37">
        <f>G150*0.663073639</f>
        <v>0</v>
      </c>
      <c r="AP150" s="37">
        <f>G150*(1-0.663073639)</f>
        <v>0</v>
      </c>
      <c r="AQ150" s="72" t="s">
        <v>243</v>
      </c>
      <c r="AV150" s="37">
        <f t="shared" ref="AV150:AV168" si="236">AW150+AX150</f>
        <v>0</v>
      </c>
      <c r="AW150" s="37">
        <f t="shared" ref="AW150:AW168" si="237">F150*AO150</f>
        <v>0</v>
      </c>
      <c r="AX150" s="37">
        <f t="shared" ref="AX150:AX168" si="238">F150*AP150</f>
        <v>0</v>
      </c>
      <c r="AY150" s="72" t="s">
        <v>576</v>
      </c>
      <c r="AZ150" s="72" t="s">
        <v>577</v>
      </c>
      <c r="BA150" s="49" t="s">
        <v>226</v>
      </c>
      <c r="BC150" s="37">
        <f t="shared" ref="BC150:BC168" si="239">AW150+AX150</f>
        <v>0</v>
      </c>
      <c r="BD150" s="37">
        <f t="shared" ref="BD150:BD168" si="240">G150/(100-BE150)*100</f>
        <v>0</v>
      </c>
      <c r="BE150" s="37">
        <v>0</v>
      </c>
      <c r="BF150" s="37">
        <f>150</f>
        <v>150</v>
      </c>
      <c r="BH150" s="37">
        <f t="shared" ref="BH150:BH168" si="241">F150*AO150</f>
        <v>0</v>
      </c>
      <c r="BI150" s="37">
        <f t="shared" ref="BI150:BI168" si="242">F150*AP150</f>
        <v>0</v>
      </c>
      <c r="BJ150" s="37">
        <f t="shared" ref="BJ150:BJ168" si="243">F150*G150</f>
        <v>0</v>
      </c>
      <c r="BK150" s="37"/>
      <c r="BL150" s="37">
        <v>721</v>
      </c>
      <c r="BW150" s="37">
        <v>21</v>
      </c>
      <c r="BX150" s="3" t="s">
        <v>575</v>
      </c>
    </row>
    <row r="151" spans="1:76" x14ac:dyDescent="0.25">
      <c r="A151" s="1" t="s">
        <v>578</v>
      </c>
      <c r="B151" s="2" t="s">
        <v>579</v>
      </c>
      <c r="C151" s="279" t="s">
        <v>580</v>
      </c>
      <c r="D151" s="280"/>
      <c r="E151" s="2" t="s">
        <v>329</v>
      </c>
      <c r="F151" s="37">
        <v>1</v>
      </c>
      <c r="G151" s="78">
        <v>0</v>
      </c>
      <c r="H151" s="37">
        <f t="shared" si="222"/>
        <v>0</v>
      </c>
      <c r="I151" s="37">
        <f t="shared" si="223"/>
        <v>0</v>
      </c>
      <c r="J151" s="37">
        <f t="shared" si="224"/>
        <v>0</v>
      </c>
      <c r="K151" s="79" t="s">
        <v>223</v>
      </c>
      <c r="Z151" s="37">
        <f t="shared" si="225"/>
        <v>0</v>
      </c>
      <c r="AB151" s="37">
        <f t="shared" si="226"/>
        <v>0</v>
      </c>
      <c r="AC151" s="37">
        <f t="shared" si="227"/>
        <v>0</v>
      </c>
      <c r="AD151" s="37">
        <f t="shared" si="228"/>
        <v>0</v>
      </c>
      <c r="AE151" s="37">
        <f t="shared" si="229"/>
        <v>0</v>
      </c>
      <c r="AF151" s="37">
        <f t="shared" si="230"/>
        <v>0</v>
      </c>
      <c r="AG151" s="37">
        <f t="shared" si="231"/>
        <v>0</v>
      </c>
      <c r="AH151" s="37">
        <f t="shared" si="232"/>
        <v>0</v>
      </c>
      <c r="AI151" s="49" t="s">
        <v>89</v>
      </c>
      <c r="AJ151" s="37">
        <f t="shared" si="233"/>
        <v>0</v>
      </c>
      <c r="AK151" s="37">
        <f t="shared" si="234"/>
        <v>0</v>
      </c>
      <c r="AL151" s="37">
        <f t="shared" si="235"/>
        <v>0</v>
      </c>
      <c r="AN151" s="37">
        <v>21</v>
      </c>
      <c r="AO151" s="37">
        <f>G151*1</f>
        <v>0</v>
      </c>
      <c r="AP151" s="37">
        <f>G151*(1-1)</f>
        <v>0</v>
      </c>
      <c r="AQ151" s="72" t="s">
        <v>243</v>
      </c>
      <c r="AV151" s="37">
        <f t="shared" si="236"/>
        <v>0</v>
      </c>
      <c r="AW151" s="37">
        <f t="shared" si="237"/>
        <v>0</v>
      </c>
      <c r="AX151" s="37">
        <f t="shared" si="238"/>
        <v>0</v>
      </c>
      <c r="AY151" s="72" t="s">
        <v>576</v>
      </c>
      <c r="AZ151" s="72" t="s">
        <v>577</v>
      </c>
      <c r="BA151" s="49" t="s">
        <v>226</v>
      </c>
      <c r="BC151" s="37">
        <f t="shared" si="239"/>
        <v>0</v>
      </c>
      <c r="BD151" s="37">
        <f t="shared" si="240"/>
        <v>0</v>
      </c>
      <c r="BE151" s="37">
        <v>0</v>
      </c>
      <c r="BF151" s="37">
        <f>151</f>
        <v>151</v>
      </c>
      <c r="BH151" s="37">
        <f t="shared" si="241"/>
        <v>0</v>
      </c>
      <c r="BI151" s="37">
        <f t="shared" si="242"/>
        <v>0</v>
      </c>
      <c r="BJ151" s="37">
        <f t="shared" si="243"/>
        <v>0</v>
      </c>
      <c r="BK151" s="37"/>
      <c r="BL151" s="37">
        <v>721</v>
      </c>
      <c r="BW151" s="37">
        <v>21</v>
      </c>
      <c r="BX151" s="3" t="s">
        <v>580</v>
      </c>
    </row>
    <row r="152" spans="1:76" x14ac:dyDescent="0.25">
      <c r="A152" s="1" t="s">
        <v>581</v>
      </c>
      <c r="B152" s="2" t="s">
        <v>582</v>
      </c>
      <c r="C152" s="279" t="s">
        <v>583</v>
      </c>
      <c r="D152" s="280"/>
      <c r="E152" s="2" t="s">
        <v>329</v>
      </c>
      <c r="F152" s="37">
        <v>1</v>
      </c>
      <c r="G152" s="78">
        <v>0</v>
      </c>
      <c r="H152" s="37">
        <f t="shared" si="222"/>
        <v>0</v>
      </c>
      <c r="I152" s="37">
        <f t="shared" si="223"/>
        <v>0</v>
      </c>
      <c r="J152" s="37">
        <f t="shared" si="224"/>
        <v>0</v>
      </c>
      <c r="K152" s="79" t="s">
        <v>223</v>
      </c>
      <c r="Z152" s="37">
        <f t="shared" si="225"/>
        <v>0</v>
      </c>
      <c r="AB152" s="37">
        <f t="shared" si="226"/>
        <v>0</v>
      </c>
      <c r="AC152" s="37">
        <f t="shared" si="227"/>
        <v>0</v>
      </c>
      <c r="AD152" s="37">
        <f t="shared" si="228"/>
        <v>0</v>
      </c>
      <c r="AE152" s="37">
        <f t="shared" si="229"/>
        <v>0</v>
      </c>
      <c r="AF152" s="37">
        <f t="shared" si="230"/>
        <v>0</v>
      </c>
      <c r="AG152" s="37">
        <f t="shared" si="231"/>
        <v>0</v>
      </c>
      <c r="AH152" s="37">
        <f t="shared" si="232"/>
        <v>0</v>
      </c>
      <c r="AI152" s="49" t="s">
        <v>89</v>
      </c>
      <c r="AJ152" s="37">
        <f t="shared" si="233"/>
        <v>0</v>
      </c>
      <c r="AK152" s="37">
        <f t="shared" si="234"/>
        <v>0</v>
      </c>
      <c r="AL152" s="37">
        <f t="shared" si="235"/>
        <v>0</v>
      </c>
      <c r="AN152" s="37">
        <v>21</v>
      </c>
      <c r="AO152" s="37">
        <f>G152*1</f>
        <v>0</v>
      </c>
      <c r="AP152" s="37">
        <f>G152*(1-1)</f>
        <v>0</v>
      </c>
      <c r="AQ152" s="72" t="s">
        <v>243</v>
      </c>
      <c r="AV152" s="37">
        <f t="shared" si="236"/>
        <v>0</v>
      </c>
      <c r="AW152" s="37">
        <f t="shared" si="237"/>
        <v>0</v>
      </c>
      <c r="AX152" s="37">
        <f t="shared" si="238"/>
        <v>0</v>
      </c>
      <c r="AY152" s="72" t="s">
        <v>576</v>
      </c>
      <c r="AZ152" s="72" t="s">
        <v>577</v>
      </c>
      <c r="BA152" s="49" t="s">
        <v>226</v>
      </c>
      <c r="BC152" s="37">
        <f t="shared" si="239"/>
        <v>0</v>
      </c>
      <c r="BD152" s="37">
        <f t="shared" si="240"/>
        <v>0</v>
      </c>
      <c r="BE152" s="37">
        <v>0</v>
      </c>
      <c r="BF152" s="37">
        <f>152</f>
        <v>152</v>
      </c>
      <c r="BH152" s="37">
        <f t="shared" si="241"/>
        <v>0</v>
      </c>
      <c r="BI152" s="37">
        <f t="shared" si="242"/>
        <v>0</v>
      </c>
      <c r="BJ152" s="37">
        <f t="shared" si="243"/>
        <v>0</v>
      </c>
      <c r="BK152" s="37"/>
      <c r="BL152" s="37">
        <v>721</v>
      </c>
      <c r="BW152" s="37">
        <v>21</v>
      </c>
      <c r="BX152" s="3" t="s">
        <v>583</v>
      </c>
    </row>
    <row r="153" spans="1:76" x14ac:dyDescent="0.25">
      <c r="A153" s="1" t="s">
        <v>584</v>
      </c>
      <c r="B153" s="2" t="s">
        <v>585</v>
      </c>
      <c r="C153" s="279" t="s">
        <v>586</v>
      </c>
      <c r="D153" s="280"/>
      <c r="E153" s="2" t="s">
        <v>329</v>
      </c>
      <c r="F153" s="37">
        <v>7</v>
      </c>
      <c r="G153" s="78">
        <v>0</v>
      </c>
      <c r="H153" s="37">
        <f t="shared" si="222"/>
        <v>0</v>
      </c>
      <c r="I153" s="37">
        <f t="shared" si="223"/>
        <v>0</v>
      </c>
      <c r="J153" s="37">
        <f t="shared" si="224"/>
        <v>0</v>
      </c>
      <c r="K153" s="79" t="s">
        <v>223</v>
      </c>
      <c r="Z153" s="37">
        <f t="shared" si="225"/>
        <v>0</v>
      </c>
      <c r="AB153" s="37">
        <f t="shared" si="226"/>
        <v>0</v>
      </c>
      <c r="AC153" s="37">
        <f t="shared" si="227"/>
        <v>0</v>
      </c>
      <c r="AD153" s="37">
        <f t="shared" si="228"/>
        <v>0</v>
      </c>
      <c r="AE153" s="37">
        <f t="shared" si="229"/>
        <v>0</v>
      </c>
      <c r="AF153" s="37">
        <f t="shared" si="230"/>
        <v>0</v>
      </c>
      <c r="AG153" s="37">
        <f t="shared" si="231"/>
        <v>0</v>
      </c>
      <c r="AH153" s="37">
        <f t="shared" si="232"/>
        <v>0</v>
      </c>
      <c r="AI153" s="49" t="s">
        <v>89</v>
      </c>
      <c r="AJ153" s="37">
        <f t="shared" si="233"/>
        <v>0</v>
      </c>
      <c r="AK153" s="37">
        <f t="shared" si="234"/>
        <v>0</v>
      </c>
      <c r="AL153" s="37">
        <f t="shared" si="235"/>
        <v>0</v>
      </c>
      <c r="AN153" s="37">
        <v>21</v>
      </c>
      <c r="AO153" s="37">
        <f>G153*1</f>
        <v>0</v>
      </c>
      <c r="AP153" s="37">
        <f>G153*(1-1)</f>
        <v>0</v>
      </c>
      <c r="AQ153" s="72" t="s">
        <v>243</v>
      </c>
      <c r="AV153" s="37">
        <f t="shared" si="236"/>
        <v>0</v>
      </c>
      <c r="AW153" s="37">
        <f t="shared" si="237"/>
        <v>0</v>
      </c>
      <c r="AX153" s="37">
        <f t="shared" si="238"/>
        <v>0</v>
      </c>
      <c r="AY153" s="72" t="s">
        <v>576</v>
      </c>
      <c r="AZ153" s="72" t="s">
        <v>577</v>
      </c>
      <c r="BA153" s="49" t="s">
        <v>226</v>
      </c>
      <c r="BC153" s="37">
        <f t="shared" si="239"/>
        <v>0</v>
      </c>
      <c r="BD153" s="37">
        <f t="shared" si="240"/>
        <v>0</v>
      </c>
      <c r="BE153" s="37">
        <v>0</v>
      </c>
      <c r="BF153" s="37">
        <f>153</f>
        <v>153</v>
      </c>
      <c r="BH153" s="37">
        <f t="shared" si="241"/>
        <v>0</v>
      </c>
      <c r="BI153" s="37">
        <f t="shared" si="242"/>
        <v>0</v>
      </c>
      <c r="BJ153" s="37">
        <f t="shared" si="243"/>
        <v>0</v>
      </c>
      <c r="BK153" s="37"/>
      <c r="BL153" s="37">
        <v>721</v>
      </c>
      <c r="BW153" s="37">
        <v>21</v>
      </c>
      <c r="BX153" s="3" t="s">
        <v>586</v>
      </c>
    </row>
    <row r="154" spans="1:76" x14ac:dyDescent="0.25">
      <c r="A154" s="1" t="s">
        <v>587</v>
      </c>
      <c r="B154" s="2" t="s">
        <v>588</v>
      </c>
      <c r="C154" s="279" t="s">
        <v>589</v>
      </c>
      <c r="D154" s="280"/>
      <c r="E154" s="2" t="s">
        <v>329</v>
      </c>
      <c r="F154" s="37">
        <v>1</v>
      </c>
      <c r="G154" s="78">
        <v>0</v>
      </c>
      <c r="H154" s="37">
        <f t="shared" si="222"/>
        <v>0</v>
      </c>
      <c r="I154" s="37">
        <f t="shared" si="223"/>
        <v>0</v>
      </c>
      <c r="J154" s="37">
        <f t="shared" si="224"/>
        <v>0</v>
      </c>
      <c r="K154" s="79" t="s">
        <v>223</v>
      </c>
      <c r="Z154" s="37">
        <f t="shared" si="225"/>
        <v>0</v>
      </c>
      <c r="AB154" s="37">
        <f t="shared" si="226"/>
        <v>0</v>
      </c>
      <c r="AC154" s="37">
        <f t="shared" si="227"/>
        <v>0</v>
      </c>
      <c r="AD154" s="37">
        <f t="shared" si="228"/>
        <v>0</v>
      </c>
      <c r="AE154" s="37">
        <f t="shared" si="229"/>
        <v>0</v>
      </c>
      <c r="AF154" s="37">
        <f t="shared" si="230"/>
        <v>0</v>
      </c>
      <c r="AG154" s="37">
        <f t="shared" si="231"/>
        <v>0</v>
      </c>
      <c r="AH154" s="37">
        <f t="shared" si="232"/>
        <v>0</v>
      </c>
      <c r="AI154" s="49" t="s">
        <v>89</v>
      </c>
      <c r="AJ154" s="37">
        <f t="shared" si="233"/>
        <v>0</v>
      </c>
      <c r="AK154" s="37">
        <f t="shared" si="234"/>
        <v>0</v>
      </c>
      <c r="AL154" s="37">
        <f t="shared" si="235"/>
        <v>0</v>
      </c>
      <c r="AN154" s="37">
        <v>21</v>
      </c>
      <c r="AO154" s="37">
        <f>G154*1</f>
        <v>0</v>
      </c>
      <c r="AP154" s="37">
        <f>G154*(1-1)</f>
        <v>0</v>
      </c>
      <c r="AQ154" s="72" t="s">
        <v>243</v>
      </c>
      <c r="AV154" s="37">
        <f t="shared" si="236"/>
        <v>0</v>
      </c>
      <c r="AW154" s="37">
        <f t="shared" si="237"/>
        <v>0</v>
      </c>
      <c r="AX154" s="37">
        <f t="shared" si="238"/>
        <v>0</v>
      </c>
      <c r="AY154" s="72" t="s">
        <v>576</v>
      </c>
      <c r="AZ154" s="72" t="s">
        <v>577</v>
      </c>
      <c r="BA154" s="49" t="s">
        <v>226</v>
      </c>
      <c r="BC154" s="37">
        <f t="shared" si="239"/>
        <v>0</v>
      </c>
      <c r="BD154" s="37">
        <f t="shared" si="240"/>
        <v>0</v>
      </c>
      <c r="BE154" s="37">
        <v>0</v>
      </c>
      <c r="BF154" s="37">
        <f>154</f>
        <v>154</v>
      </c>
      <c r="BH154" s="37">
        <f t="shared" si="241"/>
        <v>0</v>
      </c>
      <c r="BI154" s="37">
        <f t="shared" si="242"/>
        <v>0</v>
      </c>
      <c r="BJ154" s="37">
        <f t="shared" si="243"/>
        <v>0</v>
      </c>
      <c r="BK154" s="37"/>
      <c r="BL154" s="37">
        <v>721</v>
      </c>
      <c r="BW154" s="37">
        <v>21</v>
      </c>
      <c r="BX154" s="3" t="s">
        <v>589</v>
      </c>
    </row>
    <row r="155" spans="1:76" x14ac:dyDescent="0.25">
      <c r="A155" s="1" t="s">
        <v>590</v>
      </c>
      <c r="B155" s="2" t="s">
        <v>591</v>
      </c>
      <c r="C155" s="279" t="s">
        <v>592</v>
      </c>
      <c r="D155" s="280"/>
      <c r="E155" s="2" t="s">
        <v>333</v>
      </c>
      <c r="F155" s="37">
        <v>8.3000000000000007</v>
      </c>
      <c r="G155" s="78">
        <v>0</v>
      </c>
      <c r="H155" s="37">
        <f t="shared" si="222"/>
        <v>0</v>
      </c>
      <c r="I155" s="37">
        <f t="shared" si="223"/>
        <v>0</v>
      </c>
      <c r="J155" s="37">
        <f t="shared" si="224"/>
        <v>0</v>
      </c>
      <c r="K155" s="79" t="s">
        <v>223</v>
      </c>
      <c r="Z155" s="37">
        <f t="shared" si="225"/>
        <v>0</v>
      </c>
      <c r="AB155" s="37">
        <f t="shared" si="226"/>
        <v>0</v>
      </c>
      <c r="AC155" s="37">
        <f t="shared" si="227"/>
        <v>0</v>
      </c>
      <c r="AD155" s="37">
        <f t="shared" si="228"/>
        <v>0</v>
      </c>
      <c r="AE155" s="37">
        <f t="shared" si="229"/>
        <v>0</v>
      </c>
      <c r="AF155" s="37">
        <f t="shared" si="230"/>
        <v>0</v>
      </c>
      <c r="AG155" s="37">
        <f t="shared" si="231"/>
        <v>0</v>
      </c>
      <c r="AH155" s="37">
        <f t="shared" si="232"/>
        <v>0</v>
      </c>
      <c r="AI155" s="49" t="s">
        <v>89</v>
      </c>
      <c r="AJ155" s="37">
        <f t="shared" si="233"/>
        <v>0</v>
      </c>
      <c r="AK155" s="37">
        <f t="shared" si="234"/>
        <v>0</v>
      </c>
      <c r="AL155" s="37">
        <f t="shared" si="235"/>
        <v>0</v>
      </c>
      <c r="AN155" s="37">
        <v>21</v>
      </c>
      <c r="AO155" s="37">
        <f>G155*0.513043478</f>
        <v>0</v>
      </c>
      <c r="AP155" s="37">
        <f>G155*(1-0.513043478)</f>
        <v>0</v>
      </c>
      <c r="AQ155" s="72" t="s">
        <v>243</v>
      </c>
      <c r="AV155" s="37">
        <f t="shared" si="236"/>
        <v>0</v>
      </c>
      <c r="AW155" s="37">
        <f t="shared" si="237"/>
        <v>0</v>
      </c>
      <c r="AX155" s="37">
        <f t="shared" si="238"/>
        <v>0</v>
      </c>
      <c r="AY155" s="72" t="s">
        <v>576</v>
      </c>
      <c r="AZ155" s="72" t="s">
        <v>577</v>
      </c>
      <c r="BA155" s="49" t="s">
        <v>226</v>
      </c>
      <c r="BC155" s="37">
        <f t="shared" si="239"/>
        <v>0</v>
      </c>
      <c r="BD155" s="37">
        <f t="shared" si="240"/>
        <v>0</v>
      </c>
      <c r="BE155" s="37">
        <v>0</v>
      </c>
      <c r="BF155" s="37">
        <f>155</f>
        <v>155</v>
      </c>
      <c r="BH155" s="37">
        <f t="shared" si="241"/>
        <v>0</v>
      </c>
      <c r="BI155" s="37">
        <f t="shared" si="242"/>
        <v>0</v>
      </c>
      <c r="BJ155" s="37">
        <f t="shared" si="243"/>
        <v>0</v>
      </c>
      <c r="BK155" s="37"/>
      <c r="BL155" s="37">
        <v>721</v>
      </c>
      <c r="BW155" s="37">
        <v>21</v>
      </c>
      <c r="BX155" s="3" t="s">
        <v>592</v>
      </c>
    </row>
    <row r="156" spans="1:76" x14ac:dyDescent="0.25">
      <c r="A156" s="1" t="s">
        <v>593</v>
      </c>
      <c r="B156" s="2" t="s">
        <v>594</v>
      </c>
      <c r="C156" s="279" t="s">
        <v>595</v>
      </c>
      <c r="D156" s="280"/>
      <c r="E156" s="2" t="s">
        <v>329</v>
      </c>
      <c r="F156" s="37">
        <v>2</v>
      </c>
      <c r="G156" s="78">
        <v>0</v>
      </c>
      <c r="H156" s="37">
        <f t="shared" si="222"/>
        <v>0</v>
      </c>
      <c r="I156" s="37">
        <f t="shared" si="223"/>
        <v>0</v>
      </c>
      <c r="J156" s="37">
        <f t="shared" si="224"/>
        <v>0</v>
      </c>
      <c r="K156" s="79" t="s">
        <v>223</v>
      </c>
      <c r="Z156" s="37">
        <f t="shared" si="225"/>
        <v>0</v>
      </c>
      <c r="AB156" s="37">
        <f t="shared" si="226"/>
        <v>0</v>
      </c>
      <c r="AC156" s="37">
        <f t="shared" si="227"/>
        <v>0</v>
      </c>
      <c r="AD156" s="37">
        <f t="shared" si="228"/>
        <v>0</v>
      </c>
      <c r="AE156" s="37">
        <f t="shared" si="229"/>
        <v>0</v>
      </c>
      <c r="AF156" s="37">
        <f t="shared" si="230"/>
        <v>0</v>
      </c>
      <c r="AG156" s="37">
        <f t="shared" si="231"/>
        <v>0</v>
      </c>
      <c r="AH156" s="37">
        <f t="shared" si="232"/>
        <v>0</v>
      </c>
      <c r="AI156" s="49" t="s">
        <v>89</v>
      </c>
      <c r="AJ156" s="37">
        <f t="shared" si="233"/>
        <v>0</v>
      </c>
      <c r="AK156" s="37">
        <f t="shared" si="234"/>
        <v>0</v>
      </c>
      <c r="AL156" s="37">
        <f t="shared" si="235"/>
        <v>0</v>
      </c>
      <c r="AN156" s="37">
        <v>21</v>
      </c>
      <c r="AO156" s="37">
        <f>G156*1</f>
        <v>0</v>
      </c>
      <c r="AP156" s="37">
        <f>G156*(1-1)</f>
        <v>0</v>
      </c>
      <c r="AQ156" s="72" t="s">
        <v>243</v>
      </c>
      <c r="AV156" s="37">
        <f t="shared" si="236"/>
        <v>0</v>
      </c>
      <c r="AW156" s="37">
        <f t="shared" si="237"/>
        <v>0</v>
      </c>
      <c r="AX156" s="37">
        <f t="shared" si="238"/>
        <v>0</v>
      </c>
      <c r="AY156" s="72" t="s">
        <v>576</v>
      </c>
      <c r="AZ156" s="72" t="s">
        <v>577</v>
      </c>
      <c r="BA156" s="49" t="s">
        <v>226</v>
      </c>
      <c r="BC156" s="37">
        <f t="shared" si="239"/>
        <v>0</v>
      </c>
      <c r="BD156" s="37">
        <f t="shared" si="240"/>
        <v>0</v>
      </c>
      <c r="BE156" s="37">
        <v>0</v>
      </c>
      <c r="BF156" s="37">
        <f>156</f>
        <v>156</v>
      </c>
      <c r="BH156" s="37">
        <f t="shared" si="241"/>
        <v>0</v>
      </c>
      <c r="BI156" s="37">
        <f t="shared" si="242"/>
        <v>0</v>
      </c>
      <c r="BJ156" s="37">
        <f t="shared" si="243"/>
        <v>0</v>
      </c>
      <c r="BK156" s="37"/>
      <c r="BL156" s="37">
        <v>721</v>
      </c>
      <c r="BW156" s="37">
        <v>21</v>
      </c>
      <c r="BX156" s="3" t="s">
        <v>595</v>
      </c>
    </row>
    <row r="157" spans="1:76" x14ac:dyDescent="0.25">
      <c r="A157" s="1" t="s">
        <v>596</v>
      </c>
      <c r="B157" s="2" t="s">
        <v>597</v>
      </c>
      <c r="C157" s="279" t="s">
        <v>598</v>
      </c>
      <c r="D157" s="280"/>
      <c r="E157" s="2" t="s">
        <v>329</v>
      </c>
      <c r="F157" s="37">
        <v>3</v>
      </c>
      <c r="G157" s="78">
        <v>0</v>
      </c>
      <c r="H157" s="37">
        <f t="shared" si="222"/>
        <v>0</v>
      </c>
      <c r="I157" s="37">
        <f t="shared" si="223"/>
        <v>0</v>
      </c>
      <c r="J157" s="37">
        <f t="shared" si="224"/>
        <v>0</v>
      </c>
      <c r="K157" s="79" t="s">
        <v>223</v>
      </c>
      <c r="Z157" s="37">
        <f t="shared" si="225"/>
        <v>0</v>
      </c>
      <c r="AB157" s="37">
        <f t="shared" si="226"/>
        <v>0</v>
      </c>
      <c r="AC157" s="37">
        <f t="shared" si="227"/>
        <v>0</v>
      </c>
      <c r="AD157" s="37">
        <f t="shared" si="228"/>
        <v>0</v>
      </c>
      <c r="AE157" s="37">
        <f t="shared" si="229"/>
        <v>0</v>
      </c>
      <c r="AF157" s="37">
        <f t="shared" si="230"/>
        <v>0</v>
      </c>
      <c r="AG157" s="37">
        <f t="shared" si="231"/>
        <v>0</v>
      </c>
      <c r="AH157" s="37">
        <f t="shared" si="232"/>
        <v>0</v>
      </c>
      <c r="AI157" s="49" t="s">
        <v>89</v>
      </c>
      <c r="AJ157" s="37">
        <f t="shared" si="233"/>
        <v>0</v>
      </c>
      <c r="AK157" s="37">
        <f t="shared" si="234"/>
        <v>0</v>
      </c>
      <c r="AL157" s="37">
        <f t="shared" si="235"/>
        <v>0</v>
      </c>
      <c r="AN157" s="37">
        <v>21</v>
      </c>
      <c r="AO157" s="37">
        <f>G157*1</f>
        <v>0</v>
      </c>
      <c r="AP157" s="37">
        <f>G157*(1-1)</f>
        <v>0</v>
      </c>
      <c r="AQ157" s="72" t="s">
        <v>243</v>
      </c>
      <c r="AV157" s="37">
        <f t="shared" si="236"/>
        <v>0</v>
      </c>
      <c r="AW157" s="37">
        <f t="shared" si="237"/>
        <v>0</v>
      </c>
      <c r="AX157" s="37">
        <f t="shared" si="238"/>
        <v>0</v>
      </c>
      <c r="AY157" s="72" t="s">
        <v>576</v>
      </c>
      <c r="AZ157" s="72" t="s">
        <v>577</v>
      </c>
      <c r="BA157" s="49" t="s">
        <v>226</v>
      </c>
      <c r="BC157" s="37">
        <f t="shared" si="239"/>
        <v>0</v>
      </c>
      <c r="BD157" s="37">
        <f t="shared" si="240"/>
        <v>0</v>
      </c>
      <c r="BE157" s="37">
        <v>0</v>
      </c>
      <c r="BF157" s="37">
        <f>157</f>
        <v>157</v>
      </c>
      <c r="BH157" s="37">
        <f t="shared" si="241"/>
        <v>0</v>
      </c>
      <c r="BI157" s="37">
        <f t="shared" si="242"/>
        <v>0</v>
      </c>
      <c r="BJ157" s="37">
        <f t="shared" si="243"/>
        <v>0</v>
      </c>
      <c r="BK157" s="37"/>
      <c r="BL157" s="37">
        <v>721</v>
      </c>
      <c r="BW157" s="37">
        <v>21</v>
      </c>
      <c r="BX157" s="3" t="s">
        <v>598</v>
      </c>
    </row>
    <row r="158" spans="1:76" x14ac:dyDescent="0.25">
      <c r="A158" s="1" t="s">
        <v>599</v>
      </c>
      <c r="B158" s="2" t="s">
        <v>600</v>
      </c>
      <c r="C158" s="279" t="s">
        <v>601</v>
      </c>
      <c r="D158" s="280"/>
      <c r="E158" s="2" t="s">
        <v>329</v>
      </c>
      <c r="F158" s="37">
        <v>1</v>
      </c>
      <c r="G158" s="78">
        <v>0</v>
      </c>
      <c r="H158" s="37">
        <f t="shared" si="222"/>
        <v>0</v>
      </c>
      <c r="I158" s="37">
        <f t="shared" si="223"/>
        <v>0</v>
      </c>
      <c r="J158" s="37">
        <f t="shared" si="224"/>
        <v>0</v>
      </c>
      <c r="K158" s="79" t="s">
        <v>223</v>
      </c>
      <c r="Z158" s="37">
        <f t="shared" si="225"/>
        <v>0</v>
      </c>
      <c r="AB158" s="37">
        <f t="shared" si="226"/>
        <v>0</v>
      </c>
      <c r="AC158" s="37">
        <f t="shared" si="227"/>
        <v>0</v>
      </c>
      <c r="AD158" s="37">
        <f t="shared" si="228"/>
        <v>0</v>
      </c>
      <c r="AE158" s="37">
        <f t="shared" si="229"/>
        <v>0</v>
      </c>
      <c r="AF158" s="37">
        <f t="shared" si="230"/>
        <v>0</v>
      </c>
      <c r="AG158" s="37">
        <f t="shared" si="231"/>
        <v>0</v>
      </c>
      <c r="AH158" s="37">
        <f t="shared" si="232"/>
        <v>0</v>
      </c>
      <c r="AI158" s="49" t="s">
        <v>89</v>
      </c>
      <c r="AJ158" s="37">
        <f t="shared" si="233"/>
        <v>0</v>
      </c>
      <c r="AK158" s="37">
        <f t="shared" si="234"/>
        <v>0</v>
      </c>
      <c r="AL158" s="37">
        <f t="shared" si="235"/>
        <v>0</v>
      </c>
      <c r="AN158" s="37">
        <v>21</v>
      </c>
      <c r="AO158" s="37">
        <f>G158*1</f>
        <v>0</v>
      </c>
      <c r="AP158" s="37">
        <f>G158*(1-1)</f>
        <v>0</v>
      </c>
      <c r="AQ158" s="72" t="s">
        <v>243</v>
      </c>
      <c r="AV158" s="37">
        <f t="shared" si="236"/>
        <v>0</v>
      </c>
      <c r="AW158" s="37">
        <f t="shared" si="237"/>
        <v>0</v>
      </c>
      <c r="AX158" s="37">
        <f t="shared" si="238"/>
        <v>0</v>
      </c>
      <c r="AY158" s="72" t="s">
        <v>576</v>
      </c>
      <c r="AZ158" s="72" t="s">
        <v>577</v>
      </c>
      <c r="BA158" s="49" t="s">
        <v>226</v>
      </c>
      <c r="BC158" s="37">
        <f t="shared" si="239"/>
        <v>0</v>
      </c>
      <c r="BD158" s="37">
        <f t="shared" si="240"/>
        <v>0</v>
      </c>
      <c r="BE158" s="37">
        <v>0</v>
      </c>
      <c r="BF158" s="37">
        <f>158</f>
        <v>158</v>
      </c>
      <c r="BH158" s="37">
        <f t="shared" si="241"/>
        <v>0</v>
      </c>
      <c r="BI158" s="37">
        <f t="shared" si="242"/>
        <v>0</v>
      </c>
      <c r="BJ158" s="37">
        <f t="shared" si="243"/>
        <v>0</v>
      </c>
      <c r="BK158" s="37"/>
      <c r="BL158" s="37">
        <v>721</v>
      </c>
      <c r="BW158" s="37">
        <v>21</v>
      </c>
      <c r="BX158" s="3" t="s">
        <v>601</v>
      </c>
    </row>
    <row r="159" spans="1:76" x14ac:dyDescent="0.25">
      <c r="A159" s="1" t="s">
        <v>602</v>
      </c>
      <c r="B159" s="2" t="s">
        <v>603</v>
      </c>
      <c r="C159" s="279" t="s">
        <v>604</v>
      </c>
      <c r="D159" s="280"/>
      <c r="E159" s="2" t="s">
        <v>329</v>
      </c>
      <c r="F159" s="37">
        <v>1</v>
      </c>
      <c r="G159" s="78">
        <v>0</v>
      </c>
      <c r="H159" s="37">
        <f t="shared" si="222"/>
        <v>0</v>
      </c>
      <c r="I159" s="37">
        <f t="shared" si="223"/>
        <v>0</v>
      </c>
      <c r="J159" s="37">
        <f t="shared" si="224"/>
        <v>0</v>
      </c>
      <c r="K159" s="79" t="s">
        <v>223</v>
      </c>
      <c r="Z159" s="37">
        <f t="shared" si="225"/>
        <v>0</v>
      </c>
      <c r="AB159" s="37">
        <f t="shared" si="226"/>
        <v>0</v>
      </c>
      <c r="AC159" s="37">
        <f t="shared" si="227"/>
        <v>0</v>
      </c>
      <c r="AD159" s="37">
        <f t="shared" si="228"/>
        <v>0</v>
      </c>
      <c r="AE159" s="37">
        <f t="shared" si="229"/>
        <v>0</v>
      </c>
      <c r="AF159" s="37">
        <f t="shared" si="230"/>
        <v>0</v>
      </c>
      <c r="AG159" s="37">
        <f t="shared" si="231"/>
        <v>0</v>
      </c>
      <c r="AH159" s="37">
        <f t="shared" si="232"/>
        <v>0</v>
      </c>
      <c r="AI159" s="49" t="s">
        <v>89</v>
      </c>
      <c r="AJ159" s="37">
        <f t="shared" si="233"/>
        <v>0</v>
      </c>
      <c r="AK159" s="37">
        <f t="shared" si="234"/>
        <v>0</v>
      </c>
      <c r="AL159" s="37">
        <f t="shared" si="235"/>
        <v>0</v>
      </c>
      <c r="AN159" s="37">
        <v>21</v>
      </c>
      <c r="AO159" s="37">
        <f>G159*1</f>
        <v>0</v>
      </c>
      <c r="AP159" s="37">
        <f>G159*(1-1)</f>
        <v>0</v>
      </c>
      <c r="AQ159" s="72" t="s">
        <v>243</v>
      </c>
      <c r="AV159" s="37">
        <f t="shared" si="236"/>
        <v>0</v>
      </c>
      <c r="AW159" s="37">
        <f t="shared" si="237"/>
        <v>0</v>
      </c>
      <c r="AX159" s="37">
        <f t="shared" si="238"/>
        <v>0</v>
      </c>
      <c r="AY159" s="72" t="s">
        <v>576</v>
      </c>
      <c r="AZ159" s="72" t="s">
        <v>577</v>
      </c>
      <c r="BA159" s="49" t="s">
        <v>226</v>
      </c>
      <c r="BC159" s="37">
        <f t="shared" si="239"/>
        <v>0</v>
      </c>
      <c r="BD159" s="37">
        <f t="shared" si="240"/>
        <v>0</v>
      </c>
      <c r="BE159" s="37">
        <v>0</v>
      </c>
      <c r="BF159" s="37">
        <f>159</f>
        <v>159</v>
      </c>
      <c r="BH159" s="37">
        <f t="shared" si="241"/>
        <v>0</v>
      </c>
      <c r="BI159" s="37">
        <f t="shared" si="242"/>
        <v>0</v>
      </c>
      <c r="BJ159" s="37">
        <f t="shared" si="243"/>
        <v>0</v>
      </c>
      <c r="BK159" s="37"/>
      <c r="BL159" s="37">
        <v>721</v>
      </c>
      <c r="BW159" s="37">
        <v>21</v>
      </c>
      <c r="BX159" s="3" t="s">
        <v>604</v>
      </c>
    </row>
    <row r="160" spans="1:76" x14ac:dyDescent="0.25">
      <c r="A160" s="1" t="s">
        <v>605</v>
      </c>
      <c r="B160" s="2" t="s">
        <v>606</v>
      </c>
      <c r="C160" s="279" t="s">
        <v>607</v>
      </c>
      <c r="D160" s="280"/>
      <c r="E160" s="2" t="s">
        <v>329</v>
      </c>
      <c r="F160" s="37">
        <v>1</v>
      </c>
      <c r="G160" s="78">
        <v>0</v>
      </c>
      <c r="H160" s="37">
        <f t="shared" si="222"/>
        <v>0</v>
      </c>
      <c r="I160" s="37">
        <f t="shared" si="223"/>
        <v>0</v>
      </c>
      <c r="J160" s="37">
        <f t="shared" si="224"/>
        <v>0</v>
      </c>
      <c r="K160" s="79" t="s">
        <v>223</v>
      </c>
      <c r="Z160" s="37">
        <f t="shared" si="225"/>
        <v>0</v>
      </c>
      <c r="AB160" s="37">
        <f t="shared" si="226"/>
        <v>0</v>
      </c>
      <c r="AC160" s="37">
        <f t="shared" si="227"/>
        <v>0</v>
      </c>
      <c r="AD160" s="37">
        <f t="shared" si="228"/>
        <v>0</v>
      </c>
      <c r="AE160" s="37">
        <f t="shared" si="229"/>
        <v>0</v>
      </c>
      <c r="AF160" s="37">
        <f t="shared" si="230"/>
        <v>0</v>
      </c>
      <c r="AG160" s="37">
        <f t="shared" si="231"/>
        <v>0</v>
      </c>
      <c r="AH160" s="37">
        <f t="shared" si="232"/>
        <v>0</v>
      </c>
      <c r="AI160" s="49" t="s">
        <v>89</v>
      </c>
      <c r="AJ160" s="37">
        <f t="shared" si="233"/>
        <v>0</v>
      </c>
      <c r="AK160" s="37">
        <f t="shared" si="234"/>
        <v>0</v>
      </c>
      <c r="AL160" s="37">
        <f t="shared" si="235"/>
        <v>0</v>
      </c>
      <c r="AN160" s="37">
        <v>21</v>
      </c>
      <c r="AO160" s="37">
        <f>G160*1</f>
        <v>0</v>
      </c>
      <c r="AP160" s="37">
        <f>G160*(1-1)</f>
        <v>0</v>
      </c>
      <c r="AQ160" s="72" t="s">
        <v>243</v>
      </c>
      <c r="AV160" s="37">
        <f t="shared" si="236"/>
        <v>0</v>
      </c>
      <c r="AW160" s="37">
        <f t="shared" si="237"/>
        <v>0</v>
      </c>
      <c r="AX160" s="37">
        <f t="shared" si="238"/>
        <v>0</v>
      </c>
      <c r="AY160" s="72" t="s">
        <v>576</v>
      </c>
      <c r="AZ160" s="72" t="s">
        <v>577</v>
      </c>
      <c r="BA160" s="49" t="s">
        <v>226</v>
      </c>
      <c r="BC160" s="37">
        <f t="shared" si="239"/>
        <v>0</v>
      </c>
      <c r="BD160" s="37">
        <f t="shared" si="240"/>
        <v>0</v>
      </c>
      <c r="BE160" s="37">
        <v>0</v>
      </c>
      <c r="BF160" s="37">
        <f>160</f>
        <v>160</v>
      </c>
      <c r="BH160" s="37">
        <f t="shared" si="241"/>
        <v>0</v>
      </c>
      <c r="BI160" s="37">
        <f t="shared" si="242"/>
        <v>0</v>
      </c>
      <c r="BJ160" s="37">
        <f t="shared" si="243"/>
        <v>0</v>
      </c>
      <c r="BK160" s="37"/>
      <c r="BL160" s="37">
        <v>721</v>
      </c>
      <c r="BW160" s="37">
        <v>21</v>
      </c>
      <c r="BX160" s="3" t="s">
        <v>607</v>
      </c>
    </row>
    <row r="161" spans="1:76" x14ac:dyDescent="0.25">
      <c r="A161" s="1" t="s">
        <v>608</v>
      </c>
      <c r="B161" s="2" t="s">
        <v>609</v>
      </c>
      <c r="C161" s="279" t="s">
        <v>610</v>
      </c>
      <c r="D161" s="280"/>
      <c r="E161" s="2" t="s">
        <v>333</v>
      </c>
      <c r="F161" s="37">
        <v>5.8</v>
      </c>
      <c r="G161" s="78">
        <v>0</v>
      </c>
      <c r="H161" s="37">
        <f t="shared" si="222"/>
        <v>0</v>
      </c>
      <c r="I161" s="37">
        <f t="shared" si="223"/>
        <v>0</v>
      </c>
      <c r="J161" s="37">
        <f t="shared" si="224"/>
        <v>0</v>
      </c>
      <c r="K161" s="79" t="s">
        <v>223</v>
      </c>
      <c r="Z161" s="37">
        <f t="shared" si="225"/>
        <v>0</v>
      </c>
      <c r="AB161" s="37">
        <f t="shared" si="226"/>
        <v>0</v>
      </c>
      <c r="AC161" s="37">
        <f t="shared" si="227"/>
        <v>0</v>
      </c>
      <c r="AD161" s="37">
        <f t="shared" si="228"/>
        <v>0</v>
      </c>
      <c r="AE161" s="37">
        <f t="shared" si="229"/>
        <v>0</v>
      </c>
      <c r="AF161" s="37">
        <f t="shared" si="230"/>
        <v>0</v>
      </c>
      <c r="AG161" s="37">
        <f t="shared" si="231"/>
        <v>0</v>
      </c>
      <c r="AH161" s="37">
        <f t="shared" si="232"/>
        <v>0</v>
      </c>
      <c r="AI161" s="49" t="s">
        <v>89</v>
      </c>
      <c r="AJ161" s="37">
        <f t="shared" si="233"/>
        <v>0</v>
      </c>
      <c r="AK161" s="37">
        <f t="shared" si="234"/>
        <v>0</v>
      </c>
      <c r="AL161" s="37">
        <f t="shared" si="235"/>
        <v>0</v>
      </c>
      <c r="AN161" s="37">
        <v>21</v>
      </c>
      <c r="AO161" s="37">
        <f>G161*0.43378545</f>
        <v>0</v>
      </c>
      <c r="AP161" s="37">
        <f>G161*(1-0.43378545)</f>
        <v>0</v>
      </c>
      <c r="AQ161" s="72" t="s">
        <v>243</v>
      </c>
      <c r="AV161" s="37">
        <f t="shared" si="236"/>
        <v>0</v>
      </c>
      <c r="AW161" s="37">
        <f t="shared" si="237"/>
        <v>0</v>
      </c>
      <c r="AX161" s="37">
        <f t="shared" si="238"/>
        <v>0</v>
      </c>
      <c r="AY161" s="72" t="s">
        <v>576</v>
      </c>
      <c r="AZ161" s="72" t="s">
        <v>577</v>
      </c>
      <c r="BA161" s="49" t="s">
        <v>226</v>
      </c>
      <c r="BC161" s="37">
        <f t="shared" si="239"/>
        <v>0</v>
      </c>
      <c r="BD161" s="37">
        <f t="shared" si="240"/>
        <v>0</v>
      </c>
      <c r="BE161" s="37">
        <v>0</v>
      </c>
      <c r="BF161" s="37">
        <f>161</f>
        <v>161</v>
      </c>
      <c r="BH161" s="37">
        <f t="shared" si="241"/>
        <v>0</v>
      </c>
      <c r="BI161" s="37">
        <f t="shared" si="242"/>
        <v>0</v>
      </c>
      <c r="BJ161" s="37">
        <f t="shared" si="243"/>
        <v>0</v>
      </c>
      <c r="BK161" s="37"/>
      <c r="BL161" s="37">
        <v>721</v>
      </c>
      <c r="BW161" s="37">
        <v>21</v>
      </c>
      <c r="BX161" s="3" t="s">
        <v>610</v>
      </c>
    </row>
    <row r="162" spans="1:76" x14ac:dyDescent="0.25">
      <c r="A162" s="1" t="s">
        <v>611</v>
      </c>
      <c r="B162" s="2" t="s">
        <v>612</v>
      </c>
      <c r="C162" s="279" t="s">
        <v>613</v>
      </c>
      <c r="D162" s="280"/>
      <c r="E162" s="2" t="s">
        <v>333</v>
      </c>
      <c r="F162" s="37">
        <v>13.46</v>
      </c>
      <c r="G162" s="78">
        <v>0</v>
      </c>
      <c r="H162" s="37">
        <f t="shared" si="222"/>
        <v>0</v>
      </c>
      <c r="I162" s="37">
        <f t="shared" si="223"/>
        <v>0</v>
      </c>
      <c r="J162" s="37">
        <f t="shared" si="224"/>
        <v>0</v>
      </c>
      <c r="K162" s="79" t="s">
        <v>236</v>
      </c>
      <c r="Z162" s="37">
        <f t="shared" si="225"/>
        <v>0</v>
      </c>
      <c r="AB162" s="37">
        <f t="shared" si="226"/>
        <v>0</v>
      </c>
      <c r="AC162" s="37">
        <f t="shared" si="227"/>
        <v>0</v>
      </c>
      <c r="AD162" s="37">
        <f t="shared" si="228"/>
        <v>0</v>
      </c>
      <c r="AE162" s="37">
        <f t="shared" si="229"/>
        <v>0</v>
      </c>
      <c r="AF162" s="37">
        <f t="shared" si="230"/>
        <v>0</v>
      </c>
      <c r="AG162" s="37">
        <f t="shared" si="231"/>
        <v>0</v>
      </c>
      <c r="AH162" s="37">
        <f t="shared" si="232"/>
        <v>0</v>
      </c>
      <c r="AI162" s="49" t="s">
        <v>89</v>
      </c>
      <c r="AJ162" s="37">
        <f t="shared" si="233"/>
        <v>0</v>
      </c>
      <c r="AK162" s="37">
        <f t="shared" si="234"/>
        <v>0</v>
      </c>
      <c r="AL162" s="37">
        <f t="shared" si="235"/>
        <v>0</v>
      </c>
      <c r="AN162" s="37">
        <v>21</v>
      </c>
      <c r="AO162" s="37">
        <f>G162*0.414300002</f>
        <v>0</v>
      </c>
      <c r="AP162" s="37">
        <f>G162*(1-0.414300002)</f>
        <v>0</v>
      </c>
      <c r="AQ162" s="72" t="s">
        <v>243</v>
      </c>
      <c r="AV162" s="37">
        <f t="shared" si="236"/>
        <v>0</v>
      </c>
      <c r="AW162" s="37">
        <f t="shared" si="237"/>
        <v>0</v>
      </c>
      <c r="AX162" s="37">
        <f t="shared" si="238"/>
        <v>0</v>
      </c>
      <c r="AY162" s="72" t="s">
        <v>576</v>
      </c>
      <c r="AZ162" s="72" t="s">
        <v>577</v>
      </c>
      <c r="BA162" s="49" t="s">
        <v>226</v>
      </c>
      <c r="BC162" s="37">
        <f t="shared" si="239"/>
        <v>0</v>
      </c>
      <c r="BD162" s="37">
        <f t="shared" si="240"/>
        <v>0</v>
      </c>
      <c r="BE162" s="37">
        <v>0</v>
      </c>
      <c r="BF162" s="37">
        <f>162</f>
        <v>162</v>
      </c>
      <c r="BH162" s="37">
        <f t="shared" si="241"/>
        <v>0</v>
      </c>
      <c r="BI162" s="37">
        <f t="shared" si="242"/>
        <v>0</v>
      </c>
      <c r="BJ162" s="37">
        <f t="shared" si="243"/>
        <v>0</v>
      </c>
      <c r="BK162" s="37"/>
      <c r="BL162" s="37">
        <v>721</v>
      </c>
      <c r="BW162" s="37">
        <v>21</v>
      </c>
      <c r="BX162" s="3" t="s">
        <v>613</v>
      </c>
    </row>
    <row r="163" spans="1:76" x14ac:dyDescent="0.25">
      <c r="A163" s="1" t="s">
        <v>614</v>
      </c>
      <c r="B163" s="2" t="s">
        <v>603</v>
      </c>
      <c r="C163" s="279" t="s">
        <v>604</v>
      </c>
      <c r="D163" s="280"/>
      <c r="E163" s="2" t="s">
        <v>329</v>
      </c>
      <c r="F163" s="37">
        <v>13.46</v>
      </c>
      <c r="G163" s="78">
        <v>0</v>
      </c>
      <c r="H163" s="37">
        <f t="shared" si="222"/>
        <v>0</v>
      </c>
      <c r="I163" s="37">
        <f t="shared" si="223"/>
        <v>0</v>
      </c>
      <c r="J163" s="37">
        <f t="shared" si="224"/>
        <v>0</v>
      </c>
      <c r="K163" s="79" t="s">
        <v>223</v>
      </c>
      <c r="Z163" s="37">
        <f t="shared" si="225"/>
        <v>0</v>
      </c>
      <c r="AB163" s="37">
        <f t="shared" si="226"/>
        <v>0</v>
      </c>
      <c r="AC163" s="37">
        <f t="shared" si="227"/>
        <v>0</v>
      </c>
      <c r="AD163" s="37">
        <f t="shared" si="228"/>
        <v>0</v>
      </c>
      <c r="AE163" s="37">
        <f t="shared" si="229"/>
        <v>0</v>
      </c>
      <c r="AF163" s="37">
        <f t="shared" si="230"/>
        <v>0</v>
      </c>
      <c r="AG163" s="37">
        <f t="shared" si="231"/>
        <v>0</v>
      </c>
      <c r="AH163" s="37">
        <f t="shared" si="232"/>
        <v>0</v>
      </c>
      <c r="AI163" s="49" t="s">
        <v>89</v>
      </c>
      <c r="AJ163" s="37">
        <f t="shared" si="233"/>
        <v>0</v>
      </c>
      <c r="AK163" s="37">
        <f t="shared" si="234"/>
        <v>0</v>
      </c>
      <c r="AL163" s="37">
        <f t="shared" si="235"/>
        <v>0</v>
      </c>
      <c r="AN163" s="37">
        <v>21</v>
      </c>
      <c r="AO163" s="37">
        <f>G163*1</f>
        <v>0</v>
      </c>
      <c r="AP163" s="37">
        <f>G163*(1-1)</f>
        <v>0</v>
      </c>
      <c r="AQ163" s="72" t="s">
        <v>243</v>
      </c>
      <c r="AV163" s="37">
        <f t="shared" si="236"/>
        <v>0</v>
      </c>
      <c r="AW163" s="37">
        <f t="shared" si="237"/>
        <v>0</v>
      </c>
      <c r="AX163" s="37">
        <f t="shared" si="238"/>
        <v>0</v>
      </c>
      <c r="AY163" s="72" t="s">
        <v>576</v>
      </c>
      <c r="AZ163" s="72" t="s">
        <v>577</v>
      </c>
      <c r="BA163" s="49" t="s">
        <v>226</v>
      </c>
      <c r="BC163" s="37">
        <f t="shared" si="239"/>
        <v>0</v>
      </c>
      <c r="BD163" s="37">
        <f t="shared" si="240"/>
        <v>0</v>
      </c>
      <c r="BE163" s="37">
        <v>0</v>
      </c>
      <c r="BF163" s="37">
        <f>163</f>
        <v>163</v>
      </c>
      <c r="BH163" s="37">
        <f t="shared" si="241"/>
        <v>0</v>
      </c>
      <c r="BI163" s="37">
        <f t="shared" si="242"/>
        <v>0</v>
      </c>
      <c r="BJ163" s="37">
        <f t="shared" si="243"/>
        <v>0</v>
      </c>
      <c r="BK163" s="37"/>
      <c r="BL163" s="37">
        <v>721</v>
      </c>
      <c r="BW163" s="37">
        <v>21</v>
      </c>
      <c r="BX163" s="3" t="s">
        <v>604</v>
      </c>
    </row>
    <row r="164" spans="1:76" x14ac:dyDescent="0.25">
      <c r="A164" s="1" t="s">
        <v>615</v>
      </c>
      <c r="B164" s="2" t="s">
        <v>616</v>
      </c>
      <c r="C164" s="279" t="s">
        <v>617</v>
      </c>
      <c r="D164" s="280"/>
      <c r="E164" s="2" t="s">
        <v>329</v>
      </c>
      <c r="F164" s="37">
        <v>1</v>
      </c>
      <c r="G164" s="78">
        <v>0</v>
      </c>
      <c r="H164" s="37">
        <f t="shared" si="222"/>
        <v>0</v>
      </c>
      <c r="I164" s="37">
        <f t="shared" si="223"/>
        <v>0</v>
      </c>
      <c r="J164" s="37">
        <f t="shared" si="224"/>
        <v>0</v>
      </c>
      <c r="K164" s="79" t="s">
        <v>223</v>
      </c>
      <c r="Z164" s="37">
        <f t="shared" si="225"/>
        <v>0</v>
      </c>
      <c r="AB164" s="37">
        <f t="shared" si="226"/>
        <v>0</v>
      </c>
      <c r="AC164" s="37">
        <f t="shared" si="227"/>
        <v>0</v>
      </c>
      <c r="AD164" s="37">
        <f t="shared" si="228"/>
        <v>0</v>
      </c>
      <c r="AE164" s="37">
        <f t="shared" si="229"/>
        <v>0</v>
      </c>
      <c r="AF164" s="37">
        <f t="shared" si="230"/>
        <v>0</v>
      </c>
      <c r="AG164" s="37">
        <f t="shared" si="231"/>
        <v>0</v>
      </c>
      <c r="AH164" s="37">
        <f t="shared" si="232"/>
        <v>0</v>
      </c>
      <c r="AI164" s="49" t="s">
        <v>89</v>
      </c>
      <c r="AJ164" s="37">
        <f t="shared" si="233"/>
        <v>0</v>
      </c>
      <c r="AK164" s="37">
        <f t="shared" si="234"/>
        <v>0</v>
      </c>
      <c r="AL164" s="37">
        <f t="shared" si="235"/>
        <v>0</v>
      </c>
      <c r="AN164" s="37">
        <v>21</v>
      </c>
      <c r="AO164" s="37">
        <f>G164*1</f>
        <v>0</v>
      </c>
      <c r="AP164" s="37">
        <f>G164*(1-1)</f>
        <v>0</v>
      </c>
      <c r="AQ164" s="72" t="s">
        <v>243</v>
      </c>
      <c r="AV164" s="37">
        <f t="shared" si="236"/>
        <v>0</v>
      </c>
      <c r="AW164" s="37">
        <f t="shared" si="237"/>
        <v>0</v>
      </c>
      <c r="AX164" s="37">
        <f t="shared" si="238"/>
        <v>0</v>
      </c>
      <c r="AY164" s="72" t="s">
        <v>576</v>
      </c>
      <c r="AZ164" s="72" t="s">
        <v>577</v>
      </c>
      <c r="BA164" s="49" t="s">
        <v>226</v>
      </c>
      <c r="BC164" s="37">
        <f t="shared" si="239"/>
        <v>0</v>
      </c>
      <c r="BD164" s="37">
        <f t="shared" si="240"/>
        <v>0</v>
      </c>
      <c r="BE164" s="37">
        <v>0</v>
      </c>
      <c r="BF164" s="37">
        <f>164</f>
        <v>164</v>
      </c>
      <c r="BH164" s="37">
        <f t="shared" si="241"/>
        <v>0</v>
      </c>
      <c r="BI164" s="37">
        <f t="shared" si="242"/>
        <v>0</v>
      </c>
      <c r="BJ164" s="37">
        <f t="shared" si="243"/>
        <v>0</v>
      </c>
      <c r="BK164" s="37"/>
      <c r="BL164" s="37">
        <v>721</v>
      </c>
      <c r="BW164" s="37">
        <v>21</v>
      </c>
      <c r="BX164" s="3" t="s">
        <v>617</v>
      </c>
    </row>
    <row r="165" spans="1:76" x14ac:dyDescent="0.25">
      <c r="A165" s="1" t="s">
        <v>618</v>
      </c>
      <c r="B165" s="2" t="s">
        <v>619</v>
      </c>
      <c r="C165" s="279" t="s">
        <v>620</v>
      </c>
      <c r="D165" s="280"/>
      <c r="E165" s="2" t="s">
        <v>333</v>
      </c>
      <c r="F165" s="37">
        <v>49.66</v>
      </c>
      <c r="G165" s="78">
        <v>0</v>
      </c>
      <c r="H165" s="37">
        <f t="shared" si="222"/>
        <v>0</v>
      </c>
      <c r="I165" s="37">
        <f t="shared" si="223"/>
        <v>0</v>
      </c>
      <c r="J165" s="37">
        <f t="shared" si="224"/>
        <v>0</v>
      </c>
      <c r="K165" s="79" t="s">
        <v>223</v>
      </c>
      <c r="Z165" s="37">
        <f t="shared" si="225"/>
        <v>0</v>
      </c>
      <c r="AB165" s="37">
        <f t="shared" si="226"/>
        <v>0</v>
      </c>
      <c r="AC165" s="37">
        <f t="shared" si="227"/>
        <v>0</v>
      </c>
      <c r="AD165" s="37">
        <f t="shared" si="228"/>
        <v>0</v>
      </c>
      <c r="AE165" s="37">
        <f t="shared" si="229"/>
        <v>0</v>
      </c>
      <c r="AF165" s="37">
        <f t="shared" si="230"/>
        <v>0</v>
      </c>
      <c r="AG165" s="37">
        <f t="shared" si="231"/>
        <v>0</v>
      </c>
      <c r="AH165" s="37">
        <f t="shared" si="232"/>
        <v>0</v>
      </c>
      <c r="AI165" s="49" t="s">
        <v>89</v>
      </c>
      <c r="AJ165" s="37">
        <f t="shared" si="233"/>
        <v>0</v>
      </c>
      <c r="AK165" s="37">
        <f t="shared" si="234"/>
        <v>0</v>
      </c>
      <c r="AL165" s="37">
        <f t="shared" si="235"/>
        <v>0</v>
      </c>
      <c r="AN165" s="37">
        <v>21</v>
      </c>
      <c r="AO165" s="37">
        <f>G165*0.089271087</f>
        <v>0</v>
      </c>
      <c r="AP165" s="37">
        <f>G165*(1-0.089271087)</f>
        <v>0</v>
      </c>
      <c r="AQ165" s="72" t="s">
        <v>243</v>
      </c>
      <c r="AV165" s="37">
        <f t="shared" si="236"/>
        <v>0</v>
      </c>
      <c r="AW165" s="37">
        <f t="shared" si="237"/>
        <v>0</v>
      </c>
      <c r="AX165" s="37">
        <f t="shared" si="238"/>
        <v>0</v>
      </c>
      <c r="AY165" s="72" t="s">
        <v>576</v>
      </c>
      <c r="AZ165" s="72" t="s">
        <v>577</v>
      </c>
      <c r="BA165" s="49" t="s">
        <v>226</v>
      </c>
      <c r="BC165" s="37">
        <f t="shared" si="239"/>
        <v>0</v>
      </c>
      <c r="BD165" s="37">
        <f t="shared" si="240"/>
        <v>0</v>
      </c>
      <c r="BE165" s="37">
        <v>0</v>
      </c>
      <c r="BF165" s="37">
        <f>165</f>
        <v>165</v>
      </c>
      <c r="BH165" s="37">
        <f t="shared" si="241"/>
        <v>0</v>
      </c>
      <c r="BI165" s="37">
        <f t="shared" si="242"/>
        <v>0</v>
      </c>
      <c r="BJ165" s="37">
        <f t="shared" si="243"/>
        <v>0</v>
      </c>
      <c r="BK165" s="37"/>
      <c r="BL165" s="37">
        <v>721</v>
      </c>
      <c r="BW165" s="37">
        <v>21</v>
      </c>
      <c r="BX165" s="3" t="s">
        <v>620</v>
      </c>
    </row>
    <row r="166" spans="1:76" x14ac:dyDescent="0.25">
      <c r="A166" s="1" t="s">
        <v>621</v>
      </c>
      <c r="B166" s="2" t="s">
        <v>622</v>
      </c>
      <c r="C166" s="279" t="s">
        <v>623</v>
      </c>
      <c r="D166" s="280"/>
      <c r="E166" s="2" t="s">
        <v>329</v>
      </c>
      <c r="F166" s="37">
        <v>1</v>
      </c>
      <c r="G166" s="78">
        <v>0</v>
      </c>
      <c r="H166" s="37">
        <f t="shared" si="222"/>
        <v>0</v>
      </c>
      <c r="I166" s="37">
        <f t="shared" si="223"/>
        <v>0</v>
      </c>
      <c r="J166" s="37">
        <f t="shared" si="224"/>
        <v>0</v>
      </c>
      <c r="K166" s="79" t="s">
        <v>334</v>
      </c>
      <c r="Z166" s="37">
        <f t="shared" si="225"/>
        <v>0</v>
      </c>
      <c r="AB166" s="37">
        <f t="shared" si="226"/>
        <v>0</v>
      </c>
      <c r="AC166" s="37">
        <f t="shared" si="227"/>
        <v>0</v>
      </c>
      <c r="AD166" s="37">
        <f t="shared" si="228"/>
        <v>0</v>
      </c>
      <c r="AE166" s="37">
        <f t="shared" si="229"/>
        <v>0</v>
      </c>
      <c r="AF166" s="37">
        <f t="shared" si="230"/>
        <v>0</v>
      </c>
      <c r="AG166" s="37">
        <f t="shared" si="231"/>
        <v>0</v>
      </c>
      <c r="AH166" s="37">
        <f t="shared" si="232"/>
        <v>0</v>
      </c>
      <c r="AI166" s="49" t="s">
        <v>89</v>
      </c>
      <c r="AJ166" s="37">
        <f t="shared" si="233"/>
        <v>0</v>
      </c>
      <c r="AK166" s="37">
        <f t="shared" si="234"/>
        <v>0</v>
      </c>
      <c r="AL166" s="37">
        <f t="shared" si="235"/>
        <v>0</v>
      </c>
      <c r="AN166" s="37">
        <v>21</v>
      </c>
      <c r="AO166" s="37">
        <f>G166*0.958637972</f>
        <v>0</v>
      </c>
      <c r="AP166" s="37">
        <f>G166*(1-0.958637972)</f>
        <v>0</v>
      </c>
      <c r="AQ166" s="72" t="s">
        <v>243</v>
      </c>
      <c r="AV166" s="37">
        <f t="shared" si="236"/>
        <v>0</v>
      </c>
      <c r="AW166" s="37">
        <f t="shared" si="237"/>
        <v>0</v>
      </c>
      <c r="AX166" s="37">
        <f t="shared" si="238"/>
        <v>0</v>
      </c>
      <c r="AY166" s="72" t="s">
        <v>576</v>
      </c>
      <c r="AZ166" s="72" t="s">
        <v>577</v>
      </c>
      <c r="BA166" s="49" t="s">
        <v>226</v>
      </c>
      <c r="BC166" s="37">
        <f t="shared" si="239"/>
        <v>0</v>
      </c>
      <c r="BD166" s="37">
        <f t="shared" si="240"/>
        <v>0</v>
      </c>
      <c r="BE166" s="37">
        <v>0</v>
      </c>
      <c r="BF166" s="37">
        <f>166</f>
        <v>166</v>
      </c>
      <c r="BH166" s="37">
        <f t="shared" si="241"/>
        <v>0</v>
      </c>
      <c r="BI166" s="37">
        <f t="shared" si="242"/>
        <v>0</v>
      </c>
      <c r="BJ166" s="37">
        <f t="shared" si="243"/>
        <v>0</v>
      </c>
      <c r="BK166" s="37"/>
      <c r="BL166" s="37">
        <v>721</v>
      </c>
      <c r="BW166" s="37">
        <v>21</v>
      </c>
      <c r="BX166" s="3" t="s">
        <v>623</v>
      </c>
    </row>
    <row r="167" spans="1:76" x14ac:dyDescent="0.25">
      <c r="A167" s="1" t="s">
        <v>624</v>
      </c>
      <c r="B167" s="2" t="s">
        <v>625</v>
      </c>
      <c r="C167" s="279" t="s">
        <v>626</v>
      </c>
      <c r="D167" s="280"/>
      <c r="E167" s="2" t="s">
        <v>333</v>
      </c>
      <c r="F167" s="37">
        <v>1.5</v>
      </c>
      <c r="G167" s="78">
        <v>0</v>
      </c>
      <c r="H167" s="37">
        <f t="shared" si="222"/>
        <v>0</v>
      </c>
      <c r="I167" s="37">
        <f t="shared" si="223"/>
        <v>0</v>
      </c>
      <c r="J167" s="37">
        <f t="shared" si="224"/>
        <v>0</v>
      </c>
      <c r="K167" s="79" t="s">
        <v>223</v>
      </c>
      <c r="Z167" s="37">
        <f t="shared" si="225"/>
        <v>0</v>
      </c>
      <c r="AB167" s="37">
        <f t="shared" si="226"/>
        <v>0</v>
      </c>
      <c r="AC167" s="37">
        <f t="shared" si="227"/>
        <v>0</v>
      </c>
      <c r="AD167" s="37">
        <f t="shared" si="228"/>
        <v>0</v>
      </c>
      <c r="AE167" s="37">
        <f t="shared" si="229"/>
        <v>0</v>
      </c>
      <c r="AF167" s="37">
        <f t="shared" si="230"/>
        <v>0</v>
      </c>
      <c r="AG167" s="37">
        <f t="shared" si="231"/>
        <v>0</v>
      </c>
      <c r="AH167" s="37">
        <f t="shared" si="232"/>
        <v>0</v>
      </c>
      <c r="AI167" s="49" t="s">
        <v>89</v>
      </c>
      <c r="AJ167" s="37">
        <f t="shared" si="233"/>
        <v>0</v>
      </c>
      <c r="AK167" s="37">
        <f t="shared" si="234"/>
        <v>0</v>
      </c>
      <c r="AL167" s="37">
        <f t="shared" si="235"/>
        <v>0</v>
      </c>
      <c r="AN167" s="37">
        <v>21</v>
      </c>
      <c r="AO167" s="37">
        <f>G167*0.317436677</f>
        <v>0</v>
      </c>
      <c r="AP167" s="37">
        <f>G167*(1-0.317436677)</f>
        <v>0</v>
      </c>
      <c r="AQ167" s="72" t="s">
        <v>243</v>
      </c>
      <c r="AV167" s="37">
        <f t="shared" si="236"/>
        <v>0</v>
      </c>
      <c r="AW167" s="37">
        <f t="shared" si="237"/>
        <v>0</v>
      </c>
      <c r="AX167" s="37">
        <f t="shared" si="238"/>
        <v>0</v>
      </c>
      <c r="AY167" s="72" t="s">
        <v>576</v>
      </c>
      <c r="AZ167" s="72" t="s">
        <v>577</v>
      </c>
      <c r="BA167" s="49" t="s">
        <v>226</v>
      </c>
      <c r="BC167" s="37">
        <f t="shared" si="239"/>
        <v>0</v>
      </c>
      <c r="BD167" s="37">
        <f t="shared" si="240"/>
        <v>0</v>
      </c>
      <c r="BE167" s="37">
        <v>0</v>
      </c>
      <c r="BF167" s="37">
        <f>167</f>
        <v>167</v>
      </c>
      <c r="BH167" s="37">
        <f t="shared" si="241"/>
        <v>0</v>
      </c>
      <c r="BI167" s="37">
        <f t="shared" si="242"/>
        <v>0</v>
      </c>
      <c r="BJ167" s="37">
        <f t="shared" si="243"/>
        <v>0</v>
      </c>
      <c r="BK167" s="37"/>
      <c r="BL167" s="37">
        <v>721</v>
      </c>
      <c r="BW167" s="37">
        <v>21</v>
      </c>
      <c r="BX167" s="3" t="s">
        <v>626</v>
      </c>
    </row>
    <row r="168" spans="1:76" x14ac:dyDescent="0.25">
      <c r="A168" s="1" t="s">
        <v>627</v>
      </c>
      <c r="B168" s="2" t="s">
        <v>628</v>
      </c>
      <c r="C168" s="279" t="s">
        <v>629</v>
      </c>
      <c r="D168" s="280"/>
      <c r="E168" s="2" t="s">
        <v>63</v>
      </c>
      <c r="F168" s="37">
        <v>565.18430000000001</v>
      </c>
      <c r="G168" s="78">
        <v>0</v>
      </c>
      <c r="H168" s="37">
        <f t="shared" si="222"/>
        <v>0</v>
      </c>
      <c r="I168" s="37">
        <f t="shared" si="223"/>
        <v>0</v>
      </c>
      <c r="J168" s="37">
        <f t="shared" si="224"/>
        <v>0</v>
      </c>
      <c r="K168" s="79" t="s">
        <v>236</v>
      </c>
      <c r="Z168" s="37">
        <f t="shared" si="225"/>
        <v>0</v>
      </c>
      <c r="AB168" s="37">
        <f t="shared" si="226"/>
        <v>0</v>
      </c>
      <c r="AC168" s="37">
        <f t="shared" si="227"/>
        <v>0</v>
      </c>
      <c r="AD168" s="37">
        <f t="shared" si="228"/>
        <v>0</v>
      </c>
      <c r="AE168" s="37">
        <f t="shared" si="229"/>
        <v>0</v>
      </c>
      <c r="AF168" s="37">
        <f t="shared" si="230"/>
        <v>0</v>
      </c>
      <c r="AG168" s="37">
        <f t="shared" si="231"/>
        <v>0</v>
      </c>
      <c r="AH168" s="37">
        <f t="shared" si="232"/>
        <v>0</v>
      </c>
      <c r="AI168" s="49" t="s">
        <v>89</v>
      </c>
      <c r="AJ168" s="37">
        <f t="shared" si="233"/>
        <v>0</v>
      </c>
      <c r="AK168" s="37">
        <f t="shared" si="234"/>
        <v>0</v>
      </c>
      <c r="AL168" s="37">
        <f t="shared" si="235"/>
        <v>0</v>
      </c>
      <c r="AN168" s="37">
        <v>21</v>
      </c>
      <c r="AO168" s="37">
        <f>G168*0</f>
        <v>0</v>
      </c>
      <c r="AP168" s="37">
        <f>G168*(1-0)</f>
        <v>0</v>
      </c>
      <c r="AQ168" s="72" t="s">
        <v>237</v>
      </c>
      <c r="AV168" s="37">
        <f t="shared" si="236"/>
        <v>0</v>
      </c>
      <c r="AW168" s="37">
        <f t="shared" si="237"/>
        <v>0</v>
      </c>
      <c r="AX168" s="37">
        <f t="shared" si="238"/>
        <v>0</v>
      </c>
      <c r="AY168" s="72" t="s">
        <v>576</v>
      </c>
      <c r="AZ168" s="72" t="s">
        <v>577</v>
      </c>
      <c r="BA168" s="49" t="s">
        <v>226</v>
      </c>
      <c r="BC168" s="37">
        <f t="shared" si="239"/>
        <v>0</v>
      </c>
      <c r="BD168" s="37">
        <f t="shared" si="240"/>
        <v>0</v>
      </c>
      <c r="BE168" s="37">
        <v>0</v>
      </c>
      <c r="BF168" s="37">
        <f>168</f>
        <v>168</v>
      </c>
      <c r="BH168" s="37">
        <f t="shared" si="241"/>
        <v>0</v>
      </c>
      <c r="BI168" s="37">
        <f t="shared" si="242"/>
        <v>0</v>
      </c>
      <c r="BJ168" s="37">
        <f t="shared" si="243"/>
        <v>0</v>
      </c>
      <c r="BK168" s="37"/>
      <c r="BL168" s="37">
        <v>721</v>
      </c>
      <c r="BW168" s="37">
        <v>21</v>
      </c>
      <c r="BX168" s="3" t="s">
        <v>629</v>
      </c>
    </row>
    <row r="169" spans="1:76" x14ac:dyDescent="0.25">
      <c r="A169" s="80" t="s">
        <v>4</v>
      </c>
      <c r="B169" s="81" t="s">
        <v>135</v>
      </c>
      <c r="C169" s="365" t="s">
        <v>136</v>
      </c>
      <c r="D169" s="366"/>
      <c r="E169" s="82" t="s">
        <v>81</v>
      </c>
      <c r="F169" s="82" t="s">
        <v>81</v>
      </c>
      <c r="G169" s="83" t="s">
        <v>81</v>
      </c>
      <c r="H169" s="43">
        <f>SUM(H170:H177)</f>
        <v>0</v>
      </c>
      <c r="I169" s="43">
        <f>SUM(I170:I177)</f>
        <v>0</v>
      </c>
      <c r="J169" s="43">
        <f>SUM(J170:J177)</f>
        <v>0</v>
      </c>
      <c r="K169" s="84" t="s">
        <v>4</v>
      </c>
      <c r="AI169" s="49" t="s">
        <v>89</v>
      </c>
      <c r="AS169" s="43">
        <f>SUM(AJ170:AJ177)</f>
        <v>0</v>
      </c>
      <c r="AT169" s="43">
        <f>SUM(AK170:AK177)</f>
        <v>0</v>
      </c>
      <c r="AU169" s="43">
        <f>SUM(AL170:AL177)</f>
        <v>0</v>
      </c>
    </row>
    <row r="170" spans="1:76" x14ac:dyDescent="0.25">
      <c r="A170" s="1" t="s">
        <v>630</v>
      </c>
      <c r="B170" s="2" t="s">
        <v>631</v>
      </c>
      <c r="C170" s="279" t="s">
        <v>632</v>
      </c>
      <c r="D170" s="280"/>
      <c r="E170" s="2" t="s">
        <v>333</v>
      </c>
      <c r="F170" s="37">
        <v>3.1</v>
      </c>
      <c r="G170" s="78">
        <v>0</v>
      </c>
      <c r="H170" s="37">
        <f t="shared" ref="H170:H177" si="244">F170*AO170</f>
        <v>0</v>
      </c>
      <c r="I170" s="37">
        <f t="shared" ref="I170:I177" si="245">F170*AP170</f>
        <v>0</v>
      </c>
      <c r="J170" s="37">
        <f t="shared" ref="J170:J177" si="246">F170*G170</f>
        <v>0</v>
      </c>
      <c r="K170" s="79" t="s">
        <v>223</v>
      </c>
      <c r="Z170" s="37">
        <f t="shared" ref="Z170:Z177" si="247">IF(AQ170="5",BJ170,0)</f>
        <v>0</v>
      </c>
      <c r="AB170" s="37">
        <f t="shared" ref="AB170:AB177" si="248">IF(AQ170="1",BH170,0)</f>
        <v>0</v>
      </c>
      <c r="AC170" s="37">
        <f t="shared" ref="AC170:AC177" si="249">IF(AQ170="1",BI170,0)</f>
        <v>0</v>
      </c>
      <c r="AD170" s="37">
        <f t="shared" ref="AD170:AD177" si="250">IF(AQ170="7",BH170,0)</f>
        <v>0</v>
      </c>
      <c r="AE170" s="37">
        <f t="shared" ref="AE170:AE177" si="251">IF(AQ170="7",BI170,0)</f>
        <v>0</v>
      </c>
      <c r="AF170" s="37">
        <f t="shared" ref="AF170:AF177" si="252">IF(AQ170="2",BH170,0)</f>
        <v>0</v>
      </c>
      <c r="AG170" s="37">
        <f t="shared" ref="AG170:AG177" si="253">IF(AQ170="2",BI170,0)</f>
        <v>0</v>
      </c>
      <c r="AH170" s="37">
        <f t="shared" ref="AH170:AH177" si="254">IF(AQ170="0",BJ170,0)</f>
        <v>0</v>
      </c>
      <c r="AI170" s="49" t="s">
        <v>89</v>
      </c>
      <c r="AJ170" s="37">
        <f t="shared" ref="AJ170:AJ177" si="255">IF(AN170=0,J170,0)</f>
        <v>0</v>
      </c>
      <c r="AK170" s="37">
        <f t="shared" ref="AK170:AK177" si="256">IF(AN170=12,J170,0)</f>
        <v>0</v>
      </c>
      <c r="AL170" s="37">
        <f t="shared" ref="AL170:AL177" si="257">IF(AN170=21,J170,0)</f>
        <v>0</v>
      </c>
      <c r="AN170" s="37">
        <v>21</v>
      </c>
      <c r="AO170" s="37">
        <f>G170*0.260794026</f>
        <v>0</v>
      </c>
      <c r="AP170" s="37">
        <f>G170*(1-0.260794026)</f>
        <v>0</v>
      </c>
      <c r="AQ170" s="72" t="s">
        <v>243</v>
      </c>
      <c r="AV170" s="37">
        <f t="shared" ref="AV170:AV177" si="258">AW170+AX170</f>
        <v>0</v>
      </c>
      <c r="AW170" s="37">
        <f t="shared" ref="AW170:AW177" si="259">F170*AO170</f>
        <v>0</v>
      </c>
      <c r="AX170" s="37">
        <f t="shared" ref="AX170:AX177" si="260">F170*AP170</f>
        <v>0</v>
      </c>
      <c r="AY170" s="72" t="s">
        <v>633</v>
      </c>
      <c r="AZ170" s="72" t="s">
        <v>577</v>
      </c>
      <c r="BA170" s="49" t="s">
        <v>226</v>
      </c>
      <c r="BC170" s="37">
        <f t="shared" ref="BC170:BC177" si="261">AW170+AX170</f>
        <v>0</v>
      </c>
      <c r="BD170" s="37">
        <f t="shared" ref="BD170:BD177" si="262">G170/(100-BE170)*100</f>
        <v>0</v>
      </c>
      <c r="BE170" s="37">
        <v>0</v>
      </c>
      <c r="BF170" s="37">
        <f>170</f>
        <v>170</v>
      </c>
      <c r="BH170" s="37">
        <f t="shared" ref="BH170:BH177" si="263">F170*AO170</f>
        <v>0</v>
      </c>
      <c r="BI170" s="37">
        <f t="shared" ref="BI170:BI177" si="264">F170*AP170</f>
        <v>0</v>
      </c>
      <c r="BJ170" s="37">
        <f t="shared" ref="BJ170:BJ177" si="265">F170*G170</f>
        <v>0</v>
      </c>
      <c r="BK170" s="37"/>
      <c r="BL170" s="37">
        <v>722</v>
      </c>
      <c r="BW170" s="37">
        <v>21</v>
      </c>
      <c r="BX170" s="3" t="s">
        <v>632</v>
      </c>
    </row>
    <row r="171" spans="1:76" x14ac:dyDescent="0.25">
      <c r="A171" s="1" t="s">
        <v>634</v>
      </c>
      <c r="B171" s="2" t="s">
        <v>635</v>
      </c>
      <c r="C171" s="279" t="s">
        <v>636</v>
      </c>
      <c r="D171" s="280"/>
      <c r="E171" s="2" t="s">
        <v>333</v>
      </c>
      <c r="F171" s="37">
        <v>73</v>
      </c>
      <c r="G171" s="78">
        <v>0</v>
      </c>
      <c r="H171" s="37">
        <f t="shared" si="244"/>
        <v>0</v>
      </c>
      <c r="I171" s="37">
        <f t="shared" si="245"/>
        <v>0</v>
      </c>
      <c r="J171" s="37">
        <f t="shared" si="246"/>
        <v>0</v>
      </c>
      <c r="K171" s="79" t="s">
        <v>223</v>
      </c>
      <c r="Z171" s="37">
        <f t="shared" si="247"/>
        <v>0</v>
      </c>
      <c r="AB171" s="37">
        <f t="shared" si="248"/>
        <v>0</v>
      </c>
      <c r="AC171" s="37">
        <f t="shared" si="249"/>
        <v>0</v>
      </c>
      <c r="AD171" s="37">
        <f t="shared" si="250"/>
        <v>0</v>
      </c>
      <c r="AE171" s="37">
        <f t="shared" si="251"/>
        <v>0</v>
      </c>
      <c r="AF171" s="37">
        <f t="shared" si="252"/>
        <v>0</v>
      </c>
      <c r="AG171" s="37">
        <f t="shared" si="253"/>
        <v>0</v>
      </c>
      <c r="AH171" s="37">
        <f t="shared" si="254"/>
        <v>0</v>
      </c>
      <c r="AI171" s="49" t="s">
        <v>89</v>
      </c>
      <c r="AJ171" s="37">
        <f t="shared" si="255"/>
        <v>0</v>
      </c>
      <c r="AK171" s="37">
        <f t="shared" si="256"/>
        <v>0</v>
      </c>
      <c r="AL171" s="37">
        <f t="shared" si="257"/>
        <v>0</v>
      </c>
      <c r="AN171" s="37">
        <v>21</v>
      </c>
      <c r="AO171" s="37">
        <f>G171*0.309993595</f>
        <v>0</v>
      </c>
      <c r="AP171" s="37">
        <f>G171*(1-0.309993595)</f>
        <v>0</v>
      </c>
      <c r="AQ171" s="72" t="s">
        <v>243</v>
      </c>
      <c r="AV171" s="37">
        <f t="shared" si="258"/>
        <v>0</v>
      </c>
      <c r="AW171" s="37">
        <f t="shared" si="259"/>
        <v>0</v>
      </c>
      <c r="AX171" s="37">
        <f t="shared" si="260"/>
        <v>0</v>
      </c>
      <c r="AY171" s="72" t="s">
        <v>633</v>
      </c>
      <c r="AZ171" s="72" t="s">
        <v>577</v>
      </c>
      <c r="BA171" s="49" t="s">
        <v>226</v>
      </c>
      <c r="BC171" s="37">
        <f t="shared" si="261"/>
        <v>0</v>
      </c>
      <c r="BD171" s="37">
        <f t="shared" si="262"/>
        <v>0</v>
      </c>
      <c r="BE171" s="37">
        <v>0</v>
      </c>
      <c r="BF171" s="37">
        <f>171</f>
        <v>171</v>
      </c>
      <c r="BH171" s="37">
        <f t="shared" si="263"/>
        <v>0</v>
      </c>
      <c r="BI171" s="37">
        <f t="shared" si="264"/>
        <v>0</v>
      </c>
      <c r="BJ171" s="37">
        <f t="shared" si="265"/>
        <v>0</v>
      </c>
      <c r="BK171" s="37"/>
      <c r="BL171" s="37">
        <v>722</v>
      </c>
      <c r="BW171" s="37">
        <v>21</v>
      </c>
      <c r="BX171" s="3" t="s">
        <v>636</v>
      </c>
    </row>
    <row r="172" spans="1:76" x14ac:dyDescent="0.25">
      <c r="A172" s="1" t="s">
        <v>637</v>
      </c>
      <c r="B172" s="2" t="s">
        <v>638</v>
      </c>
      <c r="C172" s="279" t="s">
        <v>639</v>
      </c>
      <c r="D172" s="280"/>
      <c r="E172" s="2" t="s">
        <v>329</v>
      </c>
      <c r="F172" s="37">
        <v>1</v>
      </c>
      <c r="G172" s="78">
        <v>0</v>
      </c>
      <c r="H172" s="37">
        <f t="shared" si="244"/>
        <v>0</v>
      </c>
      <c r="I172" s="37">
        <f t="shared" si="245"/>
        <v>0</v>
      </c>
      <c r="J172" s="37">
        <f t="shared" si="246"/>
        <v>0</v>
      </c>
      <c r="K172" s="79" t="s">
        <v>334</v>
      </c>
      <c r="Z172" s="37">
        <f t="shared" si="247"/>
        <v>0</v>
      </c>
      <c r="AB172" s="37">
        <f t="shared" si="248"/>
        <v>0</v>
      </c>
      <c r="AC172" s="37">
        <f t="shared" si="249"/>
        <v>0</v>
      </c>
      <c r="AD172" s="37">
        <f t="shared" si="250"/>
        <v>0</v>
      </c>
      <c r="AE172" s="37">
        <f t="shared" si="251"/>
        <v>0</v>
      </c>
      <c r="AF172" s="37">
        <f t="shared" si="252"/>
        <v>0</v>
      </c>
      <c r="AG172" s="37">
        <f t="shared" si="253"/>
        <v>0</v>
      </c>
      <c r="AH172" s="37">
        <f t="shared" si="254"/>
        <v>0</v>
      </c>
      <c r="AI172" s="49" t="s">
        <v>89</v>
      </c>
      <c r="AJ172" s="37">
        <f t="shared" si="255"/>
        <v>0</v>
      </c>
      <c r="AK172" s="37">
        <f t="shared" si="256"/>
        <v>0</v>
      </c>
      <c r="AL172" s="37">
        <f t="shared" si="257"/>
        <v>0</v>
      </c>
      <c r="AN172" s="37">
        <v>21</v>
      </c>
      <c r="AO172" s="37">
        <f>G172*0.731844262</f>
        <v>0</v>
      </c>
      <c r="AP172" s="37">
        <f>G172*(1-0.731844262)</f>
        <v>0</v>
      </c>
      <c r="AQ172" s="72" t="s">
        <v>243</v>
      </c>
      <c r="AV172" s="37">
        <f t="shared" si="258"/>
        <v>0</v>
      </c>
      <c r="AW172" s="37">
        <f t="shared" si="259"/>
        <v>0</v>
      </c>
      <c r="AX172" s="37">
        <f t="shared" si="260"/>
        <v>0</v>
      </c>
      <c r="AY172" s="72" t="s">
        <v>633</v>
      </c>
      <c r="AZ172" s="72" t="s">
        <v>577</v>
      </c>
      <c r="BA172" s="49" t="s">
        <v>226</v>
      </c>
      <c r="BC172" s="37">
        <f t="shared" si="261"/>
        <v>0</v>
      </c>
      <c r="BD172" s="37">
        <f t="shared" si="262"/>
        <v>0</v>
      </c>
      <c r="BE172" s="37">
        <v>0</v>
      </c>
      <c r="BF172" s="37">
        <f>172</f>
        <v>172</v>
      </c>
      <c r="BH172" s="37">
        <f t="shared" si="263"/>
        <v>0</v>
      </c>
      <c r="BI172" s="37">
        <f t="shared" si="264"/>
        <v>0</v>
      </c>
      <c r="BJ172" s="37">
        <f t="shared" si="265"/>
        <v>0</v>
      </c>
      <c r="BK172" s="37"/>
      <c r="BL172" s="37">
        <v>722</v>
      </c>
      <c r="BW172" s="37">
        <v>21</v>
      </c>
      <c r="BX172" s="3" t="s">
        <v>639</v>
      </c>
    </row>
    <row r="173" spans="1:76" x14ac:dyDescent="0.25">
      <c r="A173" s="1" t="s">
        <v>640</v>
      </c>
      <c r="B173" s="2" t="s">
        <v>641</v>
      </c>
      <c r="C173" s="279" t="s">
        <v>642</v>
      </c>
      <c r="D173" s="280"/>
      <c r="E173" s="2" t="s">
        <v>643</v>
      </c>
      <c r="F173" s="37">
        <v>1</v>
      </c>
      <c r="G173" s="78">
        <v>0</v>
      </c>
      <c r="H173" s="37">
        <f t="shared" si="244"/>
        <v>0</v>
      </c>
      <c r="I173" s="37">
        <f t="shared" si="245"/>
        <v>0</v>
      </c>
      <c r="J173" s="37">
        <f t="shared" si="246"/>
        <v>0</v>
      </c>
      <c r="K173" s="79" t="s">
        <v>223</v>
      </c>
      <c r="Z173" s="37">
        <f t="shared" si="247"/>
        <v>0</v>
      </c>
      <c r="AB173" s="37">
        <f t="shared" si="248"/>
        <v>0</v>
      </c>
      <c r="AC173" s="37">
        <f t="shared" si="249"/>
        <v>0</v>
      </c>
      <c r="AD173" s="37">
        <f t="shared" si="250"/>
        <v>0</v>
      </c>
      <c r="AE173" s="37">
        <f t="shared" si="251"/>
        <v>0</v>
      </c>
      <c r="AF173" s="37">
        <f t="shared" si="252"/>
        <v>0</v>
      </c>
      <c r="AG173" s="37">
        <f t="shared" si="253"/>
        <v>0</v>
      </c>
      <c r="AH173" s="37">
        <f t="shared" si="254"/>
        <v>0</v>
      </c>
      <c r="AI173" s="49" t="s">
        <v>89</v>
      </c>
      <c r="AJ173" s="37">
        <f t="shared" si="255"/>
        <v>0</v>
      </c>
      <c r="AK173" s="37">
        <f t="shared" si="256"/>
        <v>0</v>
      </c>
      <c r="AL173" s="37">
        <f t="shared" si="257"/>
        <v>0</v>
      </c>
      <c r="AN173" s="37">
        <v>21</v>
      </c>
      <c r="AO173" s="37">
        <f>G173*0.703469388</f>
        <v>0</v>
      </c>
      <c r="AP173" s="37">
        <f>G173*(1-0.703469388)</f>
        <v>0</v>
      </c>
      <c r="AQ173" s="72" t="s">
        <v>243</v>
      </c>
      <c r="AV173" s="37">
        <f t="shared" si="258"/>
        <v>0</v>
      </c>
      <c r="AW173" s="37">
        <f t="shared" si="259"/>
        <v>0</v>
      </c>
      <c r="AX173" s="37">
        <f t="shared" si="260"/>
        <v>0</v>
      </c>
      <c r="AY173" s="72" t="s">
        <v>633</v>
      </c>
      <c r="AZ173" s="72" t="s">
        <v>577</v>
      </c>
      <c r="BA173" s="49" t="s">
        <v>226</v>
      </c>
      <c r="BC173" s="37">
        <f t="shared" si="261"/>
        <v>0</v>
      </c>
      <c r="BD173" s="37">
        <f t="shared" si="262"/>
        <v>0</v>
      </c>
      <c r="BE173" s="37">
        <v>0</v>
      </c>
      <c r="BF173" s="37">
        <f>173</f>
        <v>173</v>
      </c>
      <c r="BH173" s="37">
        <f t="shared" si="263"/>
        <v>0</v>
      </c>
      <c r="BI173" s="37">
        <f t="shared" si="264"/>
        <v>0</v>
      </c>
      <c r="BJ173" s="37">
        <f t="shared" si="265"/>
        <v>0</v>
      </c>
      <c r="BK173" s="37"/>
      <c r="BL173" s="37">
        <v>722</v>
      </c>
      <c r="BW173" s="37">
        <v>21</v>
      </c>
      <c r="BX173" s="3" t="s">
        <v>642</v>
      </c>
    </row>
    <row r="174" spans="1:76" x14ac:dyDescent="0.25">
      <c r="A174" s="1" t="s">
        <v>644</v>
      </c>
      <c r="B174" s="2" t="s">
        <v>645</v>
      </c>
      <c r="C174" s="279" t="s">
        <v>646</v>
      </c>
      <c r="D174" s="280"/>
      <c r="E174" s="2" t="s">
        <v>329</v>
      </c>
      <c r="F174" s="37">
        <v>1</v>
      </c>
      <c r="G174" s="78">
        <v>0</v>
      </c>
      <c r="H174" s="37">
        <f t="shared" si="244"/>
        <v>0</v>
      </c>
      <c r="I174" s="37">
        <f t="shared" si="245"/>
        <v>0</v>
      </c>
      <c r="J174" s="37">
        <f t="shared" si="246"/>
        <v>0</v>
      </c>
      <c r="K174" s="79" t="s">
        <v>223</v>
      </c>
      <c r="Z174" s="37">
        <f t="shared" si="247"/>
        <v>0</v>
      </c>
      <c r="AB174" s="37">
        <f t="shared" si="248"/>
        <v>0</v>
      </c>
      <c r="AC174" s="37">
        <f t="shared" si="249"/>
        <v>0</v>
      </c>
      <c r="AD174" s="37">
        <f t="shared" si="250"/>
        <v>0</v>
      </c>
      <c r="AE174" s="37">
        <f t="shared" si="251"/>
        <v>0</v>
      </c>
      <c r="AF174" s="37">
        <f t="shared" si="252"/>
        <v>0</v>
      </c>
      <c r="AG174" s="37">
        <f t="shared" si="253"/>
        <v>0</v>
      </c>
      <c r="AH174" s="37">
        <f t="shared" si="254"/>
        <v>0</v>
      </c>
      <c r="AI174" s="49" t="s">
        <v>89</v>
      </c>
      <c r="AJ174" s="37">
        <f t="shared" si="255"/>
        <v>0</v>
      </c>
      <c r="AK174" s="37">
        <f t="shared" si="256"/>
        <v>0</v>
      </c>
      <c r="AL174" s="37">
        <f t="shared" si="257"/>
        <v>0</v>
      </c>
      <c r="AN174" s="37">
        <v>21</v>
      </c>
      <c r="AO174" s="37">
        <f>G174*1</f>
        <v>0</v>
      </c>
      <c r="AP174" s="37">
        <f>G174*(1-1)</f>
        <v>0</v>
      </c>
      <c r="AQ174" s="72" t="s">
        <v>243</v>
      </c>
      <c r="AV174" s="37">
        <f t="shared" si="258"/>
        <v>0</v>
      </c>
      <c r="AW174" s="37">
        <f t="shared" si="259"/>
        <v>0</v>
      </c>
      <c r="AX174" s="37">
        <f t="shared" si="260"/>
        <v>0</v>
      </c>
      <c r="AY174" s="72" t="s">
        <v>633</v>
      </c>
      <c r="AZ174" s="72" t="s">
        <v>577</v>
      </c>
      <c r="BA174" s="49" t="s">
        <v>226</v>
      </c>
      <c r="BC174" s="37">
        <f t="shared" si="261"/>
        <v>0</v>
      </c>
      <c r="BD174" s="37">
        <f t="shared" si="262"/>
        <v>0</v>
      </c>
      <c r="BE174" s="37">
        <v>0</v>
      </c>
      <c r="BF174" s="37">
        <f>174</f>
        <v>174</v>
      </c>
      <c r="BH174" s="37">
        <f t="shared" si="263"/>
        <v>0</v>
      </c>
      <c r="BI174" s="37">
        <f t="shared" si="264"/>
        <v>0</v>
      </c>
      <c r="BJ174" s="37">
        <f t="shared" si="265"/>
        <v>0</v>
      </c>
      <c r="BK174" s="37"/>
      <c r="BL174" s="37">
        <v>722</v>
      </c>
      <c r="BW174" s="37">
        <v>21</v>
      </c>
      <c r="BX174" s="3" t="s">
        <v>646</v>
      </c>
    </row>
    <row r="175" spans="1:76" x14ac:dyDescent="0.25">
      <c r="A175" s="1" t="s">
        <v>647</v>
      </c>
      <c r="B175" s="2" t="s">
        <v>648</v>
      </c>
      <c r="C175" s="279" t="s">
        <v>649</v>
      </c>
      <c r="D175" s="280"/>
      <c r="E175" s="2" t="s">
        <v>333</v>
      </c>
      <c r="F175" s="37">
        <v>3.1</v>
      </c>
      <c r="G175" s="78">
        <v>0</v>
      </c>
      <c r="H175" s="37">
        <f t="shared" si="244"/>
        <v>0</v>
      </c>
      <c r="I175" s="37">
        <f t="shared" si="245"/>
        <v>0</v>
      </c>
      <c r="J175" s="37">
        <f t="shared" si="246"/>
        <v>0</v>
      </c>
      <c r="K175" s="79" t="s">
        <v>223</v>
      </c>
      <c r="Z175" s="37">
        <f t="shared" si="247"/>
        <v>0</v>
      </c>
      <c r="AB175" s="37">
        <f t="shared" si="248"/>
        <v>0</v>
      </c>
      <c r="AC175" s="37">
        <f t="shared" si="249"/>
        <v>0</v>
      </c>
      <c r="AD175" s="37">
        <f t="shared" si="250"/>
        <v>0</v>
      </c>
      <c r="AE175" s="37">
        <f t="shared" si="251"/>
        <v>0</v>
      </c>
      <c r="AF175" s="37">
        <f t="shared" si="252"/>
        <v>0</v>
      </c>
      <c r="AG175" s="37">
        <f t="shared" si="253"/>
        <v>0</v>
      </c>
      <c r="AH175" s="37">
        <f t="shared" si="254"/>
        <v>0</v>
      </c>
      <c r="AI175" s="49" t="s">
        <v>89</v>
      </c>
      <c r="AJ175" s="37">
        <f t="shared" si="255"/>
        <v>0</v>
      </c>
      <c r="AK175" s="37">
        <f t="shared" si="256"/>
        <v>0</v>
      </c>
      <c r="AL175" s="37">
        <f t="shared" si="257"/>
        <v>0</v>
      </c>
      <c r="AN175" s="37">
        <v>21</v>
      </c>
      <c r="AO175" s="37">
        <f>G175*0.248759301</f>
        <v>0</v>
      </c>
      <c r="AP175" s="37">
        <f>G175*(1-0.248759301)</f>
        <v>0</v>
      </c>
      <c r="AQ175" s="72" t="s">
        <v>243</v>
      </c>
      <c r="AV175" s="37">
        <f t="shared" si="258"/>
        <v>0</v>
      </c>
      <c r="AW175" s="37">
        <f t="shared" si="259"/>
        <v>0</v>
      </c>
      <c r="AX175" s="37">
        <f t="shared" si="260"/>
        <v>0</v>
      </c>
      <c r="AY175" s="72" t="s">
        <v>633</v>
      </c>
      <c r="AZ175" s="72" t="s">
        <v>577</v>
      </c>
      <c r="BA175" s="49" t="s">
        <v>226</v>
      </c>
      <c r="BC175" s="37">
        <f t="shared" si="261"/>
        <v>0</v>
      </c>
      <c r="BD175" s="37">
        <f t="shared" si="262"/>
        <v>0</v>
      </c>
      <c r="BE175" s="37">
        <v>0</v>
      </c>
      <c r="BF175" s="37">
        <f>175</f>
        <v>175</v>
      </c>
      <c r="BH175" s="37">
        <f t="shared" si="263"/>
        <v>0</v>
      </c>
      <c r="BI175" s="37">
        <f t="shared" si="264"/>
        <v>0</v>
      </c>
      <c r="BJ175" s="37">
        <f t="shared" si="265"/>
        <v>0</v>
      </c>
      <c r="BK175" s="37"/>
      <c r="BL175" s="37">
        <v>722</v>
      </c>
      <c r="BW175" s="37">
        <v>21</v>
      </c>
      <c r="BX175" s="3" t="s">
        <v>649</v>
      </c>
    </row>
    <row r="176" spans="1:76" x14ac:dyDescent="0.25">
      <c r="A176" s="1" t="s">
        <v>650</v>
      </c>
      <c r="B176" s="2" t="s">
        <v>651</v>
      </c>
      <c r="C176" s="279" t="s">
        <v>652</v>
      </c>
      <c r="D176" s="280"/>
      <c r="E176" s="2" t="s">
        <v>333</v>
      </c>
      <c r="F176" s="37">
        <v>73</v>
      </c>
      <c r="G176" s="78">
        <v>0</v>
      </c>
      <c r="H176" s="37">
        <f t="shared" si="244"/>
        <v>0</v>
      </c>
      <c r="I176" s="37">
        <f t="shared" si="245"/>
        <v>0</v>
      </c>
      <c r="J176" s="37">
        <f t="shared" si="246"/>
        <v>0</v>
      </c>
      <c r="K176" s="79" t="s">
        <v>223</v>
      </c>
      <c r="Z176" s="37">
        <f t="shared" si="247"/>
        <v>0</v>
      </c>
      <c r="AB176" s="37">
        <f t="shared" si="248"/>
        <v>0</v>
      </c>
      <c r="AC176" s="37">
        <f t="shared" si="249"/>
        <v>0</v>
      </c>
      <c r="AD176" s="37">
        <f t="shared" si="250"/>
        <v>0</v>
      </c>
      <c r="AE176" s="37">
        <f t="shared" si="251"/>
        <v>0</v>
      </c>
      <c r="AF176" s="37">
        <f t="shared" si="252"/>
        <v>0</v>
      </c>
      <c r="AG176" s="37">
        <f t="shared" si="253"/>
        <v>0</v>
      </c>
      <c r="AH176" s="37">
        <f t="shared" si="254"/>
        <v>0</v>
      </c>
      <c r="AI176" s="49" t="s">
        <v>89</v>
      </c>
      <c r="AJ176" s="37">
        <f t="shared" si="255"/>
        <v>0</v>
      </c>
      <c r="AK176" s="37">
        <f t="shared" si="256"/>
        <v>0</v>
      </c>
      <c r="AL176" s="37">
        <f t="shared" si="257"/>
        <v>0</v>
      </c>
      <c r="AN176" s="37">
        <v>21</v>
      </c>
      <c r="AO176" s="37">
        <f>G176*0.262525701</f>
        <v>0</v>
      </c>
      <c r="AP176" s="37">
        <f>G176*(1-0.262525701)</f>
        <v>0</v>
      </c>
      <c r="AQ176" s="72" t="s">
        <v>243</v>
      </c>
      <c r="AV176" s="37">
        <f t="shared" si="258"/>
        <v>0</v>
      </c>
      <c r="AW176" s="37">
        <f t="shared" si="259"/>
        <v>0</v>
      </c>
      <c r="AX176" s="37">
        <f t="shared" si="260"/>
        <v>0</v>
      </c>
      <c r="AY176" s="72" t="s">
        <v>633</v>
      </c>
      <c r="AZ176" s="72" t="s">
        <v>577</v>
      </c>
      <c r="BA176" s="49" t="s">
        <v>226</v>
      </c>
      <c r="BC176" s="37">
        <f t="shared" si="261"/>
        <v>0</v>
      </c>
      <c r="BD176" s="37">
        <f t="shared" si="262"/>
        <v>0</v>
      </c>
      <c r="BE176" s="37">
        <v>0</v>
      </c>
      <c r="BF176" s="37">
        <f>176</f>
        <v>176</v>
      </c>
      <c r="BH176" s="37">
        <f t="shared" si="263"/>
        <v>0</v>
      </c>
      <c r="BI176" s="37">
        <f t="shared" si="264"/>
        <v>0</v>
      </c>
      <c r="BJ176" s="37">
        <f t="shared" si="265"/>
        <v>0</v>
      </c>
      <c r="BK176" s="37"/>
      <c r="BL176" s="37">
        <v>722</v>
      </c>
      <c r="BW176" s="37">
        <v>21</v>
      </c>
      <c r="BX176" s="3" t="s">
        <v>652</v>
      </c>
    </row>
    <row r="177" spans="1:76" x14ac:dyDescent="0.25">
      <c r="A177" s="1" t="s">
        <v>653</v>
      </c>
      <c r="B177" s="2" t="s">
        <v>654</v>
      </c>
      <c r="C177" s="279" t="s">
        <v>655</v>
      </c>
      <c r="D177" s="280"/>
      <c r="E177" s="2" t="s">
        <v>333</v>
      </c>
      <c r="F177" s="37">
        <v>76.099999999999994</v>
      </c>
      <c r="G177" s="78">
        <v>0</v>
      </c>
      <c r="H177" s="37">
        <f t="shared" si="244"/>
        <v>0</v>
      </c>
      <c r="I177" s="37">
        <f t="shared" si="245"/>
        <v>0</v>
      </c>
      <c r="J177" s="37">
        <f t="shared" si="246"/>
        <v>0</v>
      </c>
      <c r="K177" s="79" t="s">
        <v>223</v>
      </c>
      <c r="Z177" s="37">
        <f t="shared" si="247"/>
        <v>0</v>
      </c>
      <c r="AB177" s="37">
        <f t="shared" si="248"/>
        <v>0</v>
      </c>
      <c r="AC177" s="37">
        <f t="shared" si="249"/>
        <v>0</v>
      </c>
      <c r="AD177" s="37">
        <f t="shared" si="250"/>
        <v>0</v>
      </c>
      <c r="AE177" s="37">
        <f t="shared" si="251"/>
        <v>0</v>
      </c>
      <c r="AF177" s="37">
        <f t="shared" si="252"/>
        <v>0</v>
      </c>
      <c r="AG177" s="37">
        <f t="shared" si="253"/>
        <v>0</v>
      </c>
      <c r="AH177" s="37">
        <f t="shared" si="254"/>
        <v>0</v>
      </c>
      <c r="AI177" s="49" t="s">
        <v>89</v>
      </c>
      <c r="AJ177" s="37">
        <f t="shared" si="255"/>
        <v>0</v>
      </c>
      <c r="AK177" s="37">
        <f t="shared" si="256"/>
        <v>0</v>
      </c>
      <c r="AL177" s="37">
        <f t="shared" si="257"/>
        <v>0</v>
      </c>
      <c r="AN177" s="37">
        <v>21</v>
      </c>
      <c r="AO177" s="37">
        <f>G177*0.015294118</f>
        <v>0</v>
      </c>
      <c r="AP177" s="37">
        <f>G177*(1-0.015294118)</f>
        <v>0</v>
      </c>
      <c r="AQ177" s="72" t="s">
        <v>243</v>
      </c>
      <c r="AV177" s="37">
        <f t="shared" si="258"/>
        <v>0</v>
      </c>
      <c r="AW177" s="37">
        <f t="shared" si="259"/>
        <v>0</v>
      </c>
      <c r="AX177" s="37">
        <f t="shared" si="260"/>
        <v>0</v>
      </c>
      <c r="AY177" s="72" t="s">
        <v>633</v>
      </c>
      <c r="AZ177" s="72" t="s">
        <v>577</v>
      </c>
      <c r="BA177" s="49" t="s">
        <v>226</v>
      </c>
      <c r="BC177" s="37">
        <f t="shared" si="261"/>
        <v>0</v>
      </c>
      <c r="BD177" s="37">
        <f t="shared" si="262"/>
        <v>0</v>
      </c>
      <c r="BE177" s="37">
        <v>0</v>
      </c>
      <c r="BF177" s="37">
        <f>177</f>
        <v>177</v>
      </c>
      <c r="BH177" s="37">
        <f t="shared" si="263"/>
        <v>0</v>
      </c>
      <c r="BI177" s="37">
        <f t="shared" si="264"/>
        <v>0</v>
      </c>
      <c r="BJ177" s="37">
        <f t="shared" si="265"/>
        <v>0</v>
      </c>
      <c r="BK177" s="37"/>
      <c r="BL177" s="37">
        <v>722</v>
      </c>
      <c r="BW177" s="37">
        <v>21</v>
      </c>
      <c r="BX177" s="3" t="s">
        <v>655</v>
      </c>
    </row>
    <row r="178" spans="1:76" x14ac:dyDescent="0.25">
      <c r="A178" s="80" t="s">
        <v>4</v>
      </c>
      <c r="B178" s="81" t="s">
        <v>137</v>
      </c>
      <c r="C178" s="365" t="s">
        <v>138</v>
      </c>
      <c r="D178" s="366"/>
      <c r="E178" s="82" t="s">
        <v>81</v>
      </c>
      <c r="F178" s="82" t="s">
        <v>81</v>
      </c>
      <c r="G178" s="83" t="s">
        <v>81</v>
      </c>
      <c r="H178" s="43">
        <f>SUM(H179:H193)</f>
        <v>0</v>
      </c>
      <c r="I178" s="43">
        <f>SUM(I179:I193)</f>
        <v>0</v>
      </c>
      <c r="J178" s="43">
        <f>SUM(J179:J193)</f>
        <v>0</v>
      </c>
      <c r="K178" s="84" t="s">
        <v>4</v>
      </c>
      <c r="AI178" s="49" t="s">
        <v>89</v>
      </c>
      <c r="AS178" s="43">
        <f>SUM(AJ179:AJ193)</f>
        <v>0</v>
      </c>
      <c r="AT178" s="43">
        <f>SUM(AK179:AK193)</f>
        <v>0</v>
      </c>
      <c r="AU178" s="43">
        <f>SUM(AL179:AL193)</f>
        <v>0</v>
      </c>
    </row>
    <row r="179" spans="1:76" x14ac:dyDescent="0.25">
      <c r="A179" s="1" t="s">
        <v>656</v>
      </c>
      <c r="B179" s="2" t="s">
        <v>657</v>
      </c>
      <c r="C179" s="279" t="s">
        <v>658</v>
      </c>
      <c r="D179" s="280"/>
      <c r="E179" s="2" t="s">
        <v>643</v>
      </c>
      <c r="F179" s="37">
        <v>2</v>
      </c>
      <c r="G179" s="78">
        <v>0</v>
      </c>
      <c r="H179" s="37">
        <f t="shared" ref="H179:H193" si="266">F179*AO179</f>
        <v>0</v>
      </c>
      <c r="I179" s="37">
        <f t="shared" ref="I179:I193" si="267">F179*AP179</f>
        <v>0</v>
      </c>
      <c r="J179" s="37">
        <f t="shared" ref="J179:J193" si="268">F179*G179</f>
        <v>0</v>
      </c>
      <c r="K179" s="79" t="s">
        <v>334</v>
      </c>
      <c r="Z179" s="37">
        <f t="shared" ref="Z179:Z193" si="269">IF(AQ179="5",BJ179,0)</f>
        <v>0</v>
      </c>
      <c r="AB179" s="37">
        <f t="shared" ref="AB179:AB193" si="270">IF(AQ179="1",BH179,0)</f>
        <v>0</v>
      </c>
      <c r="AC179" s="37">
        <f t="shared" ref="AC179:AC193" si="271">IF(AQ179="1",BI179,0)</f>
        <v>0</v>
      </c>
      <c r="AD179" s="37">
        <f t="shared" ref="AD179:AD193" si="272">IF(AQ179="7",BH179,0)</f>
        <v>0</v>
      </c>
      <c r="AE179" s="37">
        <f t="shared" ref="AE179:AE193" si="273">IF(AQ179="7",BI179,0)</f>
        <v>0</v>
      </c>
      <c r="AF179" s="37">
        <f t="shared" ref="AF179:AF193" si="274">IF(AQ179="2",BH179,0)</f>
        <v>0</v>
      </c>
      <c r="AG179" s="37">
        <f t="shared" ref="AG179:AG193" si="275">IF(AQ179="2",BI179,0)</f>
        <v>0</v>
      </c>
      <c r="AH179" s="37">
        <f t="shared" ref="AH179:AH193" si="276">IF(AQ179="0",BJ179,0)</f>
        <v>0</v>
      </c>
      <c r="AI179" s="49" t="s">
        <v>89</v>
      </c>
      <c r="AJ179" s="37">
        <f t="shared" ref="AJ179:AJ193" si="277">IF(AN179=0,J179,0)</f>
        <v>0</v>
      </c>
      <c r="AK179" s="37">
        <f t="shared" ref="AK179:AK193" si="278">IF(AN179=12,J179,0)</f>
        <v>0</v>
      </c>
      <c r="AL179" s="37">
        <f t="shared" ref="AL179:AL193" si="279">IF(AN179=21,J179,0)</f>
        <v>0</v>
      </c>
      <c r="AN179" s="37">
        <v>21</v>
      </c>
      <c r="AO179" s="37">
        <f>G179*0.883412964</f>
        <v>0</v>
      </c>
      <c r="AP179" s="37">
        <f>G179*(1-0.883412964)</f>
        <v>0</v>
      </c>
      <c r="AQ179" s="72" t="s">
        <v>243</v>
      </c>
      <c r="AV179" s="37">
        <f t="shared" ref="AV179:AV193" si="280">AW179+AX179</f>
        <v>0</v>
      </c>
      <c r="AW179" s="37">
        <f t="shared" ref="AW179:AW193" si="281">F179*AO179</f>
        <v>0</v>
      </c>
      <c r="AX179" s="37">
        <f t="shared" ref="AX179:AX193" si="282">F179*AP179</f>
        <v>0</v>
      </c>
      <c r="AY179" s="72" t="s">
        <v>659</v>
      </c>
      <c r="AZ179" s="72" t="s">
        <v>577</v>
      </c>
      <c r="BA179" s="49" t="s">
        <v>226</v>
      </c>
      <c r="BC179" s="37">
        <f t="shared" ref="BC179:BC193" si="283">AW179+AX179</f>
        <v>0</v>
      </c>
      <c r="BD179" s="37">
        <f t="shared" ref="BD179:BD193" si="284">G179/(100-BE179)*100</f>
        <v>0</v>
      </c>
      <c r="BE179" s="37">
        <v>0</v>
      </c>
      <c r="BF179" s="37">
        <f>179</f>
        <v>179</v>
      </c>
      <c r="BH179" s="37">
        <f t="shared" ref="BH179:BH193" si="285">F179*AO179</f>
        <v>0</v>
      </c>
      <c r="BI179" s="37">
        <f t="shared" ref="BI179:BI193" si="286">F179*AP179</f>
        <v>0</v>
      </c>
      <c r="BJ179" s="37">
        <f t="shared" ref="BJ179:BJ193" si="287">F179*G179</f>
        <v>0</v>
      </c>
      <c r="BK179" s="37"/>
      <c r="BL179" s="37">
        <v>725</v>
      </c>
      <c r="BW179" s="37">
        <v>21</v>
      </c>
      <c r="BX179" s="3" t="s">
        <v>658</v>
      </c>
    </row>
    <row r="180" spans="1:76" x14ac:dyDescent="0.25">
      <c r="A180" s="1" t="s">
        <v>660</v>
      </c>
      <c r="B180" s="2" t="s">
        <v>661</v>
      </c>
      <c r="C180" s="279" t="s">
        <v>662</v>
      </c>
      <c r="D180" s="280"/>
      <c r="E180" s="2" t="s">
        <v>643</v>
      </c>
      <c r="F180" s="37">
        <v>1</v>
      </c>
      <c r="G180" s="78">
        <v>0</v>
      </c>
      <c r="H180" s="37">
        <f t="shared" si="266"/>
        <v>0</v>
      </c>
      <c r="I180" s="37">
        <f t="shared" si="267"/>
        <v>0</v>
      </c>
      <c r="J180" s="37">
        <f t="shared" si="268"/>
        <v>0</v>
      </c>
      <c r="K180" s="79" t="s">
        <v>223</v>
      </c>
      <c r="Z180" s="37">
        <f t="shared" si="269"/>
        <v>0</v>
      </c>
      <c r="AB180" s="37">
        <f t="shared" si="270"/>
        <v>0</v>
      </c>
      <c r="AC180" s="37">
        <f t="shared" si="271"/>
        <v>0</v>
      </c>
      <c r="AD180" s="37">
        <f t="shared" si="272"/>
        <v>0</v>
      </c>
      <c r="AE180" s="37">
        <f t="shared" si="273"/>
        <v>0</v>
      </c>
      <c r="AF180" s="37">
        <f t="shared" si="274"/>
        <v>0</v>
      </c>
      <c r="AG180" s="37">
        <f t="shared" si="275"/>
        <v>0</v>
      </c>
      <c r="AH180" s="37">
        <f t="shared" si="276"/>
        <v>0</v>
      </c>
      <c r="AI180" s="49" t="s">
        <v>89</v>
      </c>
      <c r="AJ180" s="37">
        <f t="shared" si="277"/>
        <v>0</v>
      </c>
      <c r="AK180" s="37">
        <f t="shared" si="278"/>
        <v>0</v>
      </c>
      <c r="AL180" s="37">
        <f t="shared" si="279"/>
        <v>0</v>
      </c>
      <c r="AN180" s="37">
        <v>21</v>
      </c>
      <c r="AO180" s="37">
        <f>G180*0.932509393</f>
        <v>0</v>
      </c>
      <c r="AP180" s="37">
        <f>G180*(1-0.932509393)</f>
        <v>0</v>
      </c>
      <c r="AQ180" s="72" t="s">
        <v>243</v>
      </c>
      <c r="AV180" s="37">
        <f t="shared" si="280"/>
        <v>0</v>
      </c>
      <c r="AW180" s="37">
        <f t="shared" si="281"/>
        <v>0</v>
      </c>
      <c r="AX180" s="37">
        <f t="shared" si="282"/>
        <v>0</v>
      </c>
      <c r="AY180" s="72" t="s">
        <v>659</v>
      </c>
      <c r="AZ180" s="72" t="s">
        <v>577</v>
      </c>
      <c r="BA180" s="49" t="s">
        <v>226</v>
      </c>
      <c r="BC180" s="37">
        <f t="shared" si="283"/>
        <v>0</v>
      </c>
      <c r="BD180" s="37">
        <f t="shared" si="284"/>
        <v>0</v>
      </c>
      <c r="BE180" s="37">
        <v>0</v>
      </c>
      <c r="BF180" s="37">
        <f>180</f>
        <v>180</v>
      </c>
      <c r="BH180" s="37">
        <f t="shared" si="285"/>
        <v>0</v>
      </c>
      <c r="BI180" s="37">
        <f t="shared" si="286"/>
        <v>0</v>
      </c>
      <c r="BJ180" s="37">
        <f t="shared" si="287"/>
        <v>0</v>
      </c>
      <c r="BK180" s="37"/>
      <c r="BL180" s="37">
        <v>725</v>
      </c>
      <c r="BW180" s="37">
        <v>21</v>
      </c>
      <c r="BX180" s="3" t="s">
        <v>662</v>
      </c>
    </row>
    <row r="181" spans="1:76" x14ac:dyDescent="0.25">
      <c r="A181" s="1" t="s">
        <v>663</v>
      </c>
      <c r="B181" s="2" t="s">
        <v>664</v>
      </c>
      <c r="C181" s="279" t="s">
        <v>665</v>
      </c>
      <c r="D181" s="280"/>
      <c r="E181" s="2" t="s">
        <v>643</v>
      </c>
      <c r="F181" s="37">
        <v>3</v>
      </c>
      <c r="G181" s="78">
        <v>0</v>
      </c>
      <c r="H181" s="37">
        <f t="shared" si="266"/>
        <v>0</v>
      </c>
      <c r="I181" s="37">
        <f t="shared" si="267"/>
        <v>0</v>
      </c>
      <c r="J181" s="37">
        <f t="shared" si="268"/>
        <v>0</v>
      </c>
      <c r="K181" s="79" t="s">
        <v>223</v>
      </c>
      <c r="Z181" s="37">
        <f t="shared" si="269"/>
        <v>0</v>
      </c>
      <c r="AB181" s="37">
        <f t="shared" si="270"/>
        <v>0</v>
      </c>
      <c r="AC181" s="37">
        <f t="shared" si="271"/>
        <v>0</v>
      </c>
      <c r="AD181" s="37">
        <f t="shared" si="272"/>
        <v>0</v>
      </c>
      <c r="AE181" s="37">
        <f t="shared" si="273"/>
        <v>0</v>
      </c>
      <c r="AF181" s="37">
        <f t="shared" si="274"/>
        <v>0</v>
      </c>
      <c r="AG181" s="37">
        <f t="shared" si="275"/>
        <v>0</v>
      </c>
      <c r="AH181" s="37">
        <f t="shared" si="276"/>
        <v>0</v>
      </c>
      <c r="AI181" s="49" t="s">
        <v>89</v>
      </c>
      <c r="AJ181" s="37">
        <f t="shared" si="277"/>
        <v>0</v>
      </c>
      <c r="AK181" s="37">
        <f t="shared" si="278"/>
        <v>0</v>
      </c>
      <c r="AL181" s="37">
        <f t="shared" si="279"/>
        <v>0</v>
      </c>
      <c r="AN181" s="37">
        <v>21</v>
      </c>
      <c r="AO181" s="37">
        <f>G181*0.930661765</f>
        <v>0</v>
      </c>
      <c r="AP181" s="37">
        <f>G181*(1-0.930661765)</f>
        <v>0</v>
      </c>
      <c r="AQ181" s="72" t="s">
        <v>243</v>
      </c>
      <c r="AV181" s="37">
        <f t="shared" si="280"/>
        <v>0</v>
      </c>
      <c r="AW181" s="37">
        <f t="shared" si="281"/>
        <v>0</v>
      </c>
      <c r="AX181" s="37">
        <f t="shared" si="282"/>
        <v>0</v>
      </c>
      <c r="AY181" s="72" t="s">
        <v>659</v>
      </c>
      <c r="AZ181" s="72" t="s">
        <v>577</v>
      </c>
      <c r="BA181" s="49" t="s">
        <v>226</v>
      </c>
      <c r="BC181" s="37">
        <f t="shared" si="283"/>
        <v>0</v>
      </c>
      <c r="BD181" s="37">
        <f t="shared" si="284"/>
        <v>0</v>
      </c>
      <c r="BE181" s="37">
        <v>0</v>
      </c>
      <c r="BF181" s="37">
        <f>181</f>
        <v>181</v>
      </c>
      <c r="BH181" s="37">
        <f t="shared" si="285"/>
        <v>0</v>
      </c>
      <c r="BI181" s="37">
        <f t="shared" si="286"/>
        <v>0</v>
      </c>
      <c r="BJ181" s="37">
        <f t="shared" si="287"/>
        <v>0</v>
      </c>
      <c r="BK181" s="37"/>
      <c r="BL181" s="37">
        <v>725</v>
      </c>
      <c r="BW181" s="37">
        <v>21</v>
      </c>
      <c r="BX181" s="3" t="s">
        <v>665</v>
      </c>
    </row>
    <row r="182" spans="1:76" x14ac:dyDescent="0.25">
      <c r="A182" s="1" t="s">
        <v>666</v>
      </c>
      <c r="B182" s="2" t="s">
        <v>667</v>
      </c>
      <c r="C182" s="279" t="s">
        <v>668</v>
      </c>
      <c r="D182" s="280"/>
      <c r="E182" s="2" t="s">
        <v>643</v>
      </c>
      <c r="F182" s="37">
        <v>2</v>
      </c>
      <c r="G182" s="78">
        <v>0</v>
      </c>
      <c r="H182" s="37">
        <f t="shared" si="266"/>
        <v>0</v>
      </c>
      <c r="I182" s="37">
        <f t="shared" si="267"/>
        <v>0</v>
      </c>
      <c r="J182" s="37">
        <f t="shared" si="268"/>
        <v>0</v>
      </c>
      <c r="K182" s="79" t="s">
        <v>236</v>
      </c>
      <c r="Z182" s="37">
        <f t="shared" si="269"/>
        <v>0</v>
      </c>
      <c r="AB182" s="37">
        <f t="shared" si="270"/>
        <v>0</v>
      </c>
      <c r="AC182" s="37">
        <f t="shared" si="271"/>
        <v>0</v>
      </c>
      <c r="AD182" s="37">
        <f t="shared" si="272"/>
        <v>0</v>
      </c>
      <c r="AE182" s="37">
        <f t="shared" si="273"/>
        <v>0</v>
      </c>
      <c r="AF182" s="37">
        <f t="shared" si="274"/>
        <v>0</v>
      </c>
      <c r="AG182" s="37">
        <f t="shared" si="275"/>
        <v>0</v>
      </c>
      <c r="AH182" s="37">
        <f t="shared" si="276"/>
        <v>0</v>
      </c>
      <c r="AI182" s="49" t="s">
        <v>89</v>
      </c>
      <c r="AJ182" s="37">
        <f t="shared" si="277"/>
        <v>0</v>
      </c>
      <c r="AK182" s="37">
        <f t="shared" si="278"/>
        <v>0</v>
      </c>
      <c r="AL182" s="37">
        <f t="shared" si="279"/>
        <v>0</v>
      </c>
      <c r="AN182" s="37">
        <v>21</v>
      </c>
      <c r="AO182" s="37">
        <f>G182*0.682227468</f>
        <v>0</v>
      </c>
      <c r="AP182" s="37">
        <f>G182*(1-0.682227468)</f>
        <v>0</v>
      </c>
      <c r="AQ182" s="72" t="s">
        <v>243</v>
      </c>
      <c r="AV182" s="37">
        <f t="shared" si="280"/>
        <v>0</v>
      </c>
      <c r="AW182" s="37">
        <f t="shared" si="281"/>
        <v>0</v>
      </c>
      <c r="AX182" s="37">
        <f t="shared" si="282"/>
        <v>0</v>
      </c>
      <c r="AY182" s="72" t="s">
        <v>659</v>
      </c>
      <c r="AZ182" s="72" t="s">
        <v>577</v>
      </c>
      <c r="BA182" s="49" t="s">
        <v>226</v>
      </c>
      <c r="BC182" s="37">
        <f t="shared" si="283"/>
        <v>0</v>
      </c>
      <c r="BD182" s="37">
        <f t="shared" si="284"/>
        <v>0</v>
      </c>
      <c r="BE182" s="37">
        <v>0</v>
      </c>
      <c r="BF182" s="37">
        <f>182</f>
        <v>182</v>
      </c>
      <c r="BH182" s="37">
        <f t="shared" si="285"/>
        <v>0</v>
      </c>
      <c r="BI182" s="37">
        <f t="shared" si="286"/>
        <v>0</v>
      </c>
      <c r="BJ182" s="37">
        <f t="shared" si="287"/>
        <v>0</v>
      </c>
      <c r="BK182" s="37"/>
      <c r="BL182" s="37">
        <v>725</v>
      </c>
      <c r="BW182" s="37">
        <v>21</v>
      </c>
      <c r="BX182" s="3" t="s">
        <v>668</v>
      </c>
    </row>
    <row r="183" spans="1:76" x14ac:dyDescent="0.25">
      <c r="A183" s="1" t="s">
        <v>669</v>
      </c>
      <c r="B183" s="2" t="s">
        <v>670</v>
      </c>
      <c r="C183" s="279" t="s">
        <v>671</v>
      </c>
      <c r="D183" s="280"/>
      <c r="E183" s="2" t="s">
        <v>643</v>
      </c>
      <c r="F183" s="37">
        <v>1</v>
      </c>
      <c r="G183" s="78">
        <v>0</v>
      </c>
      <c r="H183" s="37">
        <f t="shared" si="266"/>
        <v>0</v>
      </c>
      <c r="I183" s="37">
        <f t="shared" si="267"/>
        <v>0</v>
      </c>
      <c r="J183" s="37">
        <f t="shared" si="268"/>
        <v>0</v>
      </c>
      <c r="K183" s="79" t="s">
        <v>334</v>
      </c>
      <c r="Z183" s="37">
        <f t="shared" si="269"/>
        <v>0</v>
      </c>
      <c r="AB183" s="37">
        <f t="shared" si="270"/>
        <v>0</v>
      </c>
      <c r="AC183" s="37">
        <f t="shared" si="271"/>
        <v>0</v>
      </c>
      <c r="AD183" s="37">
        <f t="shared" si="272"/>
        <v>0</v>
      </c>
      <c r="AE183" s="37">
        <f t="shared" si="273"/>
        <v>0</v>
      </c>
      <c r="AF183" s="37">
        <f t="shared" si="274"/>
        <v>0</v>
      </c>
      <c r="AG183" s="37">
        <f t="shared" si="275"/>
        <v>0</v>
      </c>
      <c r="AH183" s="37">
        <f t="shared" si="276"/>
        <v>0</v>
      </c>
      <c r="AI183" s="49" t="s">
        <v>89</v>
      </c>
      <c r="AJ183" s="37">
        <f t="shared" si="277"/>
        <v>0</v>
      </c>
      <c r="AK183" s="37">
        <f t="shared" si="278"/>
        <v>0</v>
      </c>
      <c r="AL183" s="37">
        <f t="shared" si="279"/>
        <v>0</v>
      </c>
      <c r="AN183" s="37">
        <v>21</v>
      </c>
      <c r="AO183" s="37">
        <f>G183*0.804459082</f>
        <v>0</v>
      </c>
      <c r="AP183" s="37">
        <f>G183*(1-0.804459082)</f>
        <v>0</v>
      </c>
      <c r="AQ183" s="72" t="s">
        <v>243</v>
      </c>
      <c r="AV183" s="37">
        <f t="shared" si="280"/>
        <v>0</v>
      </c>
      <c r="AW183" s="37">
        <f t="shared" si="281"/>
        <v>0</v>
      </c>
      <c r="AX183" s="37">
        <f t="shared" si="282"/>
        <v>0</v>
      </c>
      <c r="AY183" s="72" t="s">
        <v>659</v>
      </c>
      <c r="AZ183" s="72" t="s">
        <v>577</v>
      </c>
      <c r="BA183" s="49" t="s">
        <v>226</v>
      </c>
      <c r="BC183" s="37">
        <f t="shared" si="283"/>
        <v>0</v>
      </c>
      <c r="BD183" s="37">
        <f t="shared" si="284"/>
        <v>0</v>
      </c>
      <c r="BE183" s="37">
        <v>0</v>
      </c>
      <c r="BF183" s="37">
        <f>183</f>
        <v>183</v>
      </c>
      <c r="BH183" s="37">
        <f t="shared" si="285"/>
        <v>0</v>
      </c>
      <c r="BI183" s="37">
        <f t="shared" si="286"/>
        <v>0</v>
      </c>
      <c r="BJ183" s="37">
        <f t="shared" si="287"/>
        <v>0</v>
      </c>
      <c r="BK183" s="37"/>
      <c r="BL183" s="37">
        <v>725</v>
      </c>
      <c r="BW183" s="37">
        <v>21</v>
      </c>
      <c r="BX183" s="3" t="s">
        <v>671</v>
      </c>
    </row>
    <row r="184" spans="1:76" x14ac:dyDescent="0.25">
      <c r="A184" s="1" t="s">
        <v>672</v>
      </c>
      <c r="B184" s="2" t="s">
        <v>673</v>
      </c>
      <c r="C184" s="279" t="s">
        <v>674</v>
      </c>
      <c r="D184" s="280"/>
      <c r="E184" s="2" t="s">
        <v>329</v>
      </c>
      <c r="F184" s="37">
        <v>2</v>
      </c>
      <c r="G184" s="78">
        <v>0</v>
      </c>
      <c r="H184" s="37">
        <f t="shared" si="266"/>
        <v>0</v>
      </c>
      <c r="I184" s="37">
        <f t="shared" si="267"/>
        <v>0</v>
      </c>
      <c r="J184" s="37">
        <f t="shared" si="268"/>
        <v>0</v>
      </c>
      <c r="K184" s="79" t="s">
        <v>334</v>
      </c>
      <c r="Z184" s="37">
        <f t="shared" si="269"/>
        <v>0</v>
      </c>
      <c r="AB184" s="37">
        <f t="shared" si="270"/>
        <v>0</v>
      </c>
      <c r="AC184" s="37">
        <f t="shared" si="271"/>
        <v>0</v>
      </c>
      <c r="AD184" s="37">
        <f t="shared" si="272"/>
        <v>0</v>
      </c>
      <c r="AE184" s="37">
        <f t="shared" si="273"/>
        <v>0</v>
      </c>
      <c r="AF184" s="37">
        <f t="shared" si="274"/>
        <v>0</v>
      </c>
      <c r="AG184" s="37">
        <f t="shared" si="275"/>
        <v>0</v>
      </c>
      <c r="AH184" s="37">
        <f t="shared" si="276"/>
        <v>0</v>
      </c>
      <c r="AI184" s="49" t="s">
        <v>89</v>
      </c>
      <c r="AJ184" s="37">
        <f t="shared" si="277"/>
        <v>0</v>
      </c>
      <c r="AK184" s="37">
        <f t="shared" si="278"/>
        <v>0</v>
      </c>
      <c r="AL184" s="37">
        <f t="shared" si="279"/>
        <v>0</v>
      </c>
      <c r="AN184" s="37">
        <v>21</v>
      </c>
      <c r="AO184" s="37">
        <f>G184*0.873548879</f>
        <v>0</v>
      </c>
      <c r="AP184" s="37">
        <f>G184*(1-0.873548879)</f>
        <v>0</v>
      </c>
      <c r="AQ184" s="72" t="s">
        <v>243</v>
      </c>
      <c r="AV184" s="37">
        <f t="shared" si="280"/>
        <v>0</v>
      </c>
      <c r="AW184" s="37">
        <f t="shared" si="281"/>
        <v>0</v>
      </c>
      <c r="AX184" s="37">
        <f t="shared" si="282"/>
        <v>0</v>
      </c>
      <c r="AY184" s="72" t="s">
        <v>659</v>
      </c>
      <c r="AZ184" s="72" t="s">
        <v>577</v>
      </c>
      <c r="BA184" s="49" t="s">
        <v>226</v>
      </c>
      <c r="BC184" s="37">
        <f t="shared" si="283"/>
        <v>0</v>
      </c>
      <c r="BD184" s="37">
        <f t="shared" si="284"/>
        <v>0</v>
      </c>
      <c r="BE184" s="37">
        <v>0</v>
      </c>
      <c r="BF184" s="37">
        <f>184</f>
        <v>184</v>
      </c>
      <c r="BH184" s="37">
        <f t="shared" si="285"/>
        <v>0</v>
      </c>
      <c r="BI184" s="37">
        <f t="shared" si="286"/>
        <v>0</v>
      </c>
      <c r="BJ184" s="37">
        <f t="shared" si="287"/>
        <v>0</v>
      </c>
      <c r="BK184" s="37"/>
      <c r="BL184" s="37">
        <v>725</v>
      </c>
      <c r="BW184" s="37">
        <v>21</v>
      </c>
      <c r="BX184" s="3" t="s">
        <v>674</v>
      </c>
    </row>
    <row r="185" spans="1:76" x14ac:dyDescent="0.25">
      <c r="A185" s="1" t="s">
        <v>675</v>
      </c>
      <c r="B185" s="2" t="s">
        <v>676</v>
      </c>
      <c r="C185" s="279" t="s">
        <v>677</v>
      </c>
      <c r="D185" s="280"/>
      <c r="E185" s="2" t="s">
        <v>329</v>
      </c>
      <c r="F185" s="37">
        <v>1</v>
      </c>
      <c r="G185" s="78">
        <v>0</v>
      </c>
      <c r="H185" s="37">
        <f t="shared" si="266"/>
        <v>0</v>
      </c>
      <c r="I185" s="37">
        <f t="shared" si="267"/>
        <v>0</v>
      </c>
      <c r="J185" s="37">
        <f t="shared" si="268"/>
        <v>0</v>
      </c>
      <c r="K185" s="79" t="s">
        <v>334</v>
      </c>
      <c r="Z185" s="37">
        <f t="shared" si="269"/>
        <v>0</v>
      </c>
      <c r="AB185" s="37">
        <f t="shared" si="270"/>
        <v>0</v>
      </c>
      <c r="AC185" s="37">
        <f t="shared" si="271"/>
        <v>0</v>
      </c>
      <c r="AD185" s="37">
        <f t="shared" si="272"/>
        <v>0</v>
      </c>
      <c r="AE185" s="37">
        <f t="shared" si="273"/>
        <v>0</v>
      </c>
      <c r="AF185" s="37">
        <f t="shared" si="274"/>
        <v>0</v>
      </c>
      <c r="AG185" s="37">
        <f t="shared" si="275"/>
        <v>0</v>
      </c>
      <c r="AH185" s="37">
        <f t="shared" si="276"/>
        <v>0</v>
      </c>
      <c r="AI185" s="49" t="s">
        <v>89</v>
      </c>
      <c r="AJ185" s="37">
        <f t="shared" si="277"/>
        <v>0</v>
      </c>
      <c r="AK185" s="37">
        <f t="shared" si="278"/>
        <v>0</v>
      </c>
      <c r="AL185" s="37">
        <f t="shared" si="279"/>
        <v>0</v>
      </c>
      <c r="AN185" s="37">
        <v>21</v>
      </c>
      <c r="AO185" s="37">
        <f>G185*0.8963074</f>
        <v>0</v>
      </c>
      <c r="AP185" s="37">
        <f>G185*(1-0.8963074)</f>
        <v>0</v>
      </c>
      <c r="AQ185" s="72" t="s">
        <v>243</v>
      </c>
      <c r="AV185" s="37">
        <f t="shared" si="280"/>
        <v>0</v>
      </c>
      <c r="AW185" s="37">
        <f t="shared" si="281"/>
        <v>0</v>
      </c>
      <c r="AX185" s="37">
        <f t="shared" si="282"/>
        <v>0</v>
      </c>
      <c r="AY185" s="72" t="s">
        <v>659</v>
      </c>
      <c r="AZ185" s="72" t="s">
        <v>577</v>
      </c>
      <c r="BA185" s="49" t="s">
        <v>226</v>
      </c>
      <c r="BC185" s="37">
        <f t="shared" si="283"/>
        <v>0</v>
      </c>
      <c r="BD185" s="37">
        <f t="shared" si="284"/>
        <v>0</v>
      </c>
      <c r="BE185" s="37">
        <v>0</v>
      </c>
      <c r="BF185" s="37">
        <f>185</f>
        <v>185</v>
      </c>
      <c r="BH185" s="37">
        <f t="shared" si="285"/>
        <v>0</v>
      </c>
      <c r="BI185" s="37">
        <f t="shared" si="286"/>
        <v>0</v>
      </c>
      <c r="BJ185" s="37">
        <f t="shared" si="287"/>
        <v>0</v>
      </c>
      <c r="BK185" s="37"/>
      <c r="BL185" s="37">
        <v>725</v>
      </c>
      <c r="BW185" s="37">
        <v>21</v>
      </c>
      <c r="BX185" s="3" t="s">
        <v>677</v>
      </c>
    </row>
    <row r="186" spans="1:76" x14ac:dyDescent="0.25">
      <c r="A186" s="1" t="s">
        <v>678</v>
      </c>
      <c r="B186" s="2" t="s">
        <v>679</v>
      </c>
      <c r="C186" s="279" t="s">
        <v>680</v>
      </c>
      <c r="D186" s="280"/>
      <c r="E186" s="2" t="s">
        <v>329</v>
      </c>
      <c r="F186" s="37">
        <v>3</v>
      </c>
      <c r="G186" s="78">
        <v>0</v>
      </c>
      <c r="H186" s="37">
        <f t="shared" si="266"/>
        <v>0</v>
      </c>
      <c r="I186" s="37">
        <f t="shared" si="267"/>
        <v>0</v>
      </c>
      <c r="J186" s="37">
        <f t="shared" si="268"/>
        <v>0</v>
      </c>
      <c r="K186" s="79" t="s">
        <v>236</v>
      </c>
      <c r="Z186" s="37">
        <f t="shared" si="269"/>
        <v>0</v>
      </c>
      <c r="AB186" s="37">
        <f t="shared" si="270"/>
        <v>0</v>
      </c>
      <c r="AC186" s="37">
        <f t="shared" si="271"/>
        <v>0</v>
      </c>
      <c r="AD186" s="37">
        <f t="shared" si="272"/>
        <v>0</v>
      </c>
      <c r="AE186" s="37">
        <f t="shared" si="273"/>
        <v>0</v>
      </c>
      <c r="AF186" s="37">
        <f t="shared" si="274"/>
        <v>0</v>
      </c>
      <c r="AG186" s="37">
        <f t="shared" si="275"/>
        <v>0</v>
      </c>
      <c r="AH186" s="37">
        <f t="shared" si="276"/>
        <v>0</v>
      </c>
      <c r="AI186" s="49" t="s">
        <v>89</v>
      </c>
      <c r="AJ186" s="37">
        <f t="shared" si="277"/>
        <v>0</v>
      </c>
      <c r="AK186" s="37">
        <f t="shared" si="278"/>
        <v>0</v>
      </c>
      <c r="AL186" s="37">
        <f t="shared" si="279"/>
        <v>0</v>
      </c>
      <c r="AN186" s="37">
        <v>21</v>
      </c>
      <c r="AO186" s="37">
        <f>G186*0.882813278</f>
        <v>0</v>
      </c>
      <c r="AP186" s="37">
        <f>G186*(1-0.882813278)</f>
        <v>0</v>
      </c>
      <c r="AQ186" s="72" t="s">
        <v>243</v>
      </c>
      <c r="AV186" s="37">
        <f t="shared" si="280"/>
        <v>0</v>
      </c>
      <c r="AW186" s="37">
        <f t="shared" si="281"/>
        <v>0</v>
      </c>
      <c r="AX186" s="37">
        <f t="shared" si="282"/>
        <v>0</v>
      </c>
      <c r="AY186" s="72" t="s">
        <v>659</v>
      </c>
      <c r="AZ186" s="72" t="s">
        <v>577</v>
      </c>
      <c r="BA186" s="49" t="s">
        <v>226</v>
      </c>
      <c r="BC186" s="37">
        <f t="shared" si="283"/>
        <v>0</v>
      </c>
      <c r="BD186" s="37">
        <f t="shared" si="284"/>
        <v>0</v>
      </c>
      <c r="BE186" s="37">
        <v>0</v>
      </c>
      <c r="BF186" s="37">
        <f>186</f>
        <v>186</v>
      </c>
      <c r="BH186" s="37">
        <f t="shared" si="285"/>
        <v>0</v>
      </c>
      <c r="BI186" s="37">
        <f t="shared" si="286"/>
        <v>0</v>
      </c>
      <c r="BJ186" s="37">
        <f t="shared" si="287"/>
        <v>0</v>
      </c>
      <c r="BK186" s="37"/>
      <c r="BL186" s="37">
        <v>725</v>
      </c>
      <c r="BW186" s="37">
        <v>21</v>
      </c>
      <c r="BX186" s="3" t="s">
        <v>680</v>
      </c>
    </row>
    <row r="187" spans="1:76" x14ac:dyDescent="0.25">
      <c r="A187" s="1" t="s">
        <v>681</v>
      </c>
      <c r="B187" s="2" t="s">
        <v>682</v>
      </c>
      <c r="C187" s="279" t="s">
        <v>683</v>
      </c>
      <c r="D187" s="280"/>
      <c r="E187" s="2" t="s">
        <v>643</v>
      </c>
      <c r="F187" s="37">
        <v>3</v>
      </c>
      <c r="G187" s="78">
        <v>0</v>
      </c>
      <c r="H187" s="37">
        <f t="shared" si="266"/>
        <v>0</v>
      </c>
      <c r="I187" s="37">
        <f t="shared" si="267"/>
        <v>0</v>
      </c>
      <c r="J187" s="37">
        <f t="shared" si="268"/>
        <v>0</v>
      </c>
      <c r="K187" s="79" t="s">
        <v>334</v>
      </c>
      <c r="Z187" s="37">
        <f t="shared" si="269"/>
        <v>0</v>
      </c>
      <c r="AB187" s="37">
        <f t="shared" si="270"/>
        <v>0</v>
      </c>
      <c r="AC187" s="37">
        <f t="shared" si="271"/>
        <v>0</v>
      </c>
      <c r="AD187" s="37">
        <f t="shared" si="272"/>
        <v>0</v>
      </c>
      <c r="AE187" s="37">
        <f t="shared" si="273"/>
        <v>0</v>
      </c>
      <c r="AF187" s="37">
        <f t="shared" si="274"/>
        <v>0</v>
      </c>
      <c r="AG187" s="37">
        <f t="shared" si="275"/>
        <v>0</v>
      </c>
      <c r="AH187" s="37">
        <f t="shared" si="276"/>
        <v>0</v>
      </c>
      <c r="AI187" s="49" t="s">
        <v>89</v>
      </c>
      <c r="AJ187" s="37">
        <f t="shared" si="277"/>
        <v>0</v>
      </c>
      <c r="AK187" s="37">
        <f t="shared" si="278"/>
        <v>0</v>
      </c>
      <c r="AL187" s="37">
        <f t="shared" si="279"/>
        <v>0</v>
      </c>
      <c r="AN187" s="37">
        <v>21</v>
      </c>
      <c r="AO187" s="37">
        <f>G187*0.837343941</f>
        <v>0</v>
      </c>
      <c r="AP187" s="37">
        <f>G187*(1-0.837343941)</f>
        <v>0</v>
      </c>
      <c r="AQ187" s="72" t="s">
        <v>243</v>
      </c>
      <c r="AV187" s="37">
        <f t="shared" si="280"/>
        <v>0</v>
      </c>
      <c r="AW187" s="37">
        <f t="shared" si="281"/>
        <v>0</v>
      </c>
      <c r="AX187" s="37">
        <f t="shared" si="282"/>
        <v>0</v>
      </c>
      <c r="AY187" s="72" t="s">
        <v>659</v>
      </c>
      <c r="AZ187" s="72" t="s">
        <v>577</v>
      </c>
      <c r="BA187" s="49" t="s">
        <v>226</v>
      </c>
      <c r="BC187" s="37">
        <f t="shared" si="283"/>
        <v>0</v>
      </c>
      <c r="BD187" s="37">
        <f t="shared" si="284"/>
        <v>0</v>
      </c>
      <c r="BE187" s="37">
        <v>0</v>
      </c>
      <c r="BF187" s="37">
        <f>187</f>
        <v>187</v>
      </c>
      <c r="BH187" s="37">
        <f t="shared" si="285"/>
        <v>0</v>
      </c>
      <c r="BI187" s="37">
        <f t="shared" si="286"/>
        <v>0</v>
      </c>
      <c r="BJ187" s="37">
        <f t="shared" si="287"/>
        <v>0</v>
      </c>
      <c r="BK187" s="37"/>
      <c r="BL187" s="37">
        <v>725</v>
      </c>
      <c r="BW187" s="37">
        <v>21</v>
      </c>
      <c r="BX187" s="3" t="s">
        <v>683</v>
      </c>
    </row>
    <row r="188" spans="1:76" x14ac:dyDescent="0.25">
      <c r="A188" s="1" t="s">
        <v>684</v>
      </c>
      <c r="B188" s="2" t="s">
        <v>685</v>
      </c>
      <c r="C188" s="279" t="s">
        <v>686</v>
      </c>
      <c r="D188" s="280"/>
      <c r="E188" s="2" t="s">
        <v>643</v>
      </c>
      <c r="F188" s="37">
        <v>1</v>
      </c>
      <c r="G188" s="78">
        <v>0</v>
      </c>
      <c r="H188" s="37">
        <f t="shared" si="266"/>
        <v>0</v>
      </c>
      <c r="I188" s="37">
        <f t="shared" si="267"/>
        <v>0</v>
      </c>
      <c r="J188" s="37">
        <f t="shared" si="268"/>
        <v>0</v>
      </c>
      <c r="K188" s="79" t="s">
        <v>334</v>
      </c>
      <c r="Z188" s="37">
        <f t="shared" si="269"/>
        <v>0</v>
      </c>
      <c r="AB188" s="37">
        <f t="shared" si="270"/>
        <v>0</v>
      </c>
      <c r="AC188" s="37">
        <f t="shared" si="271"/>
        <v>0</v>
      </c>
      <c r="AD188" s="37">
        <f t="shared" si="272"/>
        <v>0</v>
      </c>
      <c r="AE188" s="37">
        <f t="shared" si="273"/>
        <v>0</v>
      </c>
      <c r="AF188" s="37">
        <f t="shared" si="274"/>
        <v>0</v>
      </c>
      <c r="AG188" s="37">
        <f t="shared" si="275"/>
        <v>0</v>
      </c>
      <c r="AH188" s="37">
        <f t="shared" si="276"/>
        <v>0</v>
      </c>
      <c r="AI188" s="49" t="s">
        <v>89</v>
      </c>
      <c r="AJ188" s="37">
        <f t="shared" si="277"/>
        <v>0</v>
      </c>
      <c r="AK188" s="37">
        <f t="shared" si="278"/>
        <v>0</v>
      </c>
      <c r="AL188" s="37">
        <f t="shared" si="279"/>
        <v>0</v>
      </c>
      <c r="AN188" s="37">
        <v>21</v>
      </c>
      <c r="AO188" s="37">
        <f>G188*0.892414502</f>
        <v>0</v>
      </c>
      <c r="AP188" s="37">
        <f>G188*(1-0.892414502)</f>
        <v>0</v>
      </c>
      <c r="AQ188" s="72" t="s">
        <v>243</v>
      </c>
      <c r="AV188" s="37">
        <f t="shared" si="280"/>
        <v>0</v>
      </c>
      <c r="AW188" s="37">
        <f t="shared" si="281"/>
        <v>0</v>
      </c>
      <c r="AX188" s="37">
        <f t="shared" si="282"/>
        <v>0</v>
      </c>
      <c r="AY188" s="72" t="s">
        <v>659</v>
      </c>
      <c r="AZ188" s="72" t="s">
        <v>577</v>
      </c>
      <c r="BA188" s="49" t="s">
        <v>226</v>
      </c>
      <c r="BC188" s="37">
        <f t="shared" si="283"/>
        <v>0</v>
      </c>
      <c r="BD188" s="37">
        <f t="shared" si="284"/>
        <v>0</v>
      </c>
      <c r="BE188" s="37">
        <v>0</v>
      </c>
      <c r="BF188" s="37">
        <f>188</f>
        <v>188</v>
      </c>
      <c r="BH188" s="37">
        <f t="shared" si="285"/>
        <v>0</v>
      </c>
      <c r="BI188" s="37">
        <f t="shared" si="286"/>
        <v>0</v>
      </c>
      <c r="BJ188" s="37">
        <f t="shared" si="287"/>
        <v>0</v>
      </c>
      <c r="BK188" s="37"/>
      <c r="BL188" s="37">
        <v>725</v>
      </c>
      <c r="BW188" s="37">
        <v>21</v>
      </c>
      <c r="BX188" s="3" t="s">
        <v>686</v>
      </c>
    </row>
    <row r="189" spans="1:76" x14ac:dyDescent="0.25">
      <c r="A189" s="1" t="s">
        <v>687</v>
      </c>
      <c r="B189" s="2" t="s">
        <v>688</v>
      </c>
      <c r="C189" s="279" t="s">
        <v>689</v>
      </c>
      <c r="D189" s="280"/>
      <c r="E189" s="2" t="s">
        <v>329</v>
      </c>
      <c r="F189" s="37">
        <v>1</v>
      </c>
      <c r="G189" s="78">
        <v>0</v>
      </c>
      <c r="H189" s="37">
        <f t="shared" si="266"/>
        <v>0</v>
      </c>
      <c r="I189" s="37">
        <f t="shared" si="267"/>
        <v>0</v>
      </c>
      <c r="J189" s="37">
        <f t="shared" si="268"/>
        <v>0</v>
      </c>
      <c r="K189" s="79" t="s">
        <v>334</v>
      </c>
      <c r="Z189" s="37">
        <f t="shared" si="269"/>
        <v>0</v>
      </c>
      <c r="AB189" s="37">
        <f t="shared" si="270"/>
        <v>0</v>
      </c>
      <c r="AC189" s="37">
        <f t="shared" si="271"/>
        <v>0</v>
      </c>
      <c r="AD189" s="37">
        <f t="shared" si="272"/>
        <v>0</v>
      </c>
      <c r="AE189" s="37">
        <f t="shared" si="273"/>
        <v>0</v>
      </c>
      <c r="AF189" s="37">
        <f t="shared" si="274"/>
        <v>0</v>
      </c>
      <c r="AG189" s="37">
        <f t="shared" si="275"/>
        <v>0</v>
      </c>
      <c r="AH189" s="37">
        <f t="shared" si="276"/>
        <v>0</v>
      </c>
      <c r="AI189" s="49" t="s">
        <v>89</v>
      </c>
      <c r="AJ189" s="37">
        <f t="shared" si="277"/>
        <v>0</v>
      </c>
      <c r="AK189" s="37">
        <f t="shared" si="278"/>
        <v>0</v>
      </c>
      <c r="AL189" s="37">
        <f t="shared" si="279"/>
        <v>0</v>
      </c>
      <c r="AN189" s="37">
        <v>21</v>
      </c>
      <c r="AO189" s="37">
        <f>G189*0.8963074</f>
        <v>0</v>
      </c>
      <c r="AP189" s="37">
        <f>G189*(1-0.8963074)</f>
        <v>0</v>
      </c>
      <c r="AQ189" s="72" t="s">
        <v>243</v>
      </c>
      <c r="AV189" s="37">
        <f t="shared" si="280"/>
        <v>0</v>
      </c>
      <c r="AW189" s="37">
        <f t="shared" si="281"/>
        <v>0</v>
      </c>
      <c r="AX189" s="37">
        <f t="shared" si="282"/>
        <v>0</v>
      </c>
      <c r="AY189" s="72" t="s">
        <v>659</v>
      </c>
      <c r="AZ189" s="72" t="s">
        <v>577</v>
      </c>
      <c r="BA189" s="49" t="s">
        <v>226</v>
      </c>
      <c r="BC189" s="37">
        <f t="shared" si="283"/>
        <v>0</v>
      </c>
      <c r="BD189" s="37">
        <f t="shared" si="284"/>
        <v>0</v>
      </c>
      <c r="BE189" s="37">
        <v>0</v>
      </c>
      <c r="BF189" s="37">
        <f>189</f>
        <v>189</v>
      </c>
      <c r="BH189" s="37">
        <f t="shared" si="285"/>
        <v>0</v>
      </c>
      <c r="BI189" s="37">
        <f t="shared" si="286"/>
        <v>0</v>
      </c>
      <c r="BJ189" s="37">
        <f t="shared" si="287"/>
        <v>0</v>
      </c>
      <c r="BK189" s="37"/>
      <c r="BL189" s="37">
        <v>725</v>
      </c>
      <c r="BW189" s="37">
        <v>21</v>
      </c>
      <c r="BX189" s="3" t="s">
        <v>689</v>
      </c>
    </row>
    <row r="190" spans="1:76" x14ac:dyDescent="0.25">
      <c r="A190" s="1" t="s">
        <v>690</v>
      </c>
      <c r="B190" s="2" t="s">
        <v>691</v>
      </c>
      <c r="C190" s="279" t="s">
        <v>692</v>
      </c>
      <c r="D190" s="280"/>
      <c r="E190" s="2" t="s">
        <v>329</v>
      </c>
      <c r="F190" s="37">
        <v>1</v>
      </c>
      <c r="G190" s="78">
        <v>0</v>
      </c>
      <c r="H190" s="37">
        <f t="shared" si="266"/>
        <v>0</v>
      </c>
      <c r="I190" s="37">
        <f t="shared" si="267"/>
        <v>0</v>
      </c>
      <c r="J190" s="37">
        <f t="shared" si="268"/>
        <v>0</v>
      </c>
      <c r="K190" s="79" t="s">
        <v>334</v>
      </c>
      <c r="Z190" s="37">
        <f t="shared" si="269"/>
        <v>0</v>
      </c>
      <c r="AB190" s="37">
        <f t="shared" si="270"/>
        <v>0</v>
      </c>
      <c r="AC190" s="37">
        <f t="shared" si="271"/>
        <v>0</v>
      </c>
      <c r="AD190" s="37">
        <f t="shared" si="272"/>
        <v>0</v>
      </c>
      <c r="AE190" s="37">
        <f t="shared" si="273"/>
        <v>0</v>
      </c>
      <c r="AF190" s="37">
        <f t="shared" si="274"/>
        <v>0</v>
      </c>
      <c r="AG190" s="37">
        <f t="shared" si="275"/>
        <v>0</v>
      </c>
      <c r="AH190" s="37">
        <f t="shared" si="276"/>
        <v>0</v>
      </c>
      <c r="AI190" s="49" t="s">
        <v>89</v>
      </c>
      <c r="AJ190" s="37">
        <f t="shared" si="277"/>
        <v>0</v>
      </c>
      <c r="AK190" s="37">
        <f t="shared" si="278"/>
        <v>0</v>
      </c>
      <c r="AL190" s="37">
        <f t="shared" si="279"/>
        <v>0</v>
      </c>
      <c r="AN190" s="37">
        <v>21</v>
      </c>
      <c r="AO190" s="37">
        <f>G190*0.939613346</f>
        <v>0</v>
      </c>
      <c r="AP190" s="37">
        <f>G190*(1-0.939613346)</f>
        <v>0</v>
      </c>
      <c r="AQ190" s="72" t="s">
        <v>243</v>
      </c>
      <c r="AV190" s="37">
        <f t="shared" si="280"/>
        <v>0</v>
      </c>
      <c r="AW190" s="37">
        <f t="shared" si="281"/>
        <v>0</v>
      </c>
      <c r="AX190" s="37">
        <f t="shared" si="282"/>
        <v>0</v>
      </c>
      <c r="AY190" s="72" t="s">
        <v>659</v>
      </c>
      <c r="AZ190" s="72" t="s">
        <v>577</v>
      </c>
      <c r="BA190" s="49" t="s">
        <v>226</v>
      </c>
      <c r="BC190" s="37">
        <f t="shared" si="283"/>
        <v>0</v>
      </c>
      <c r="BD190" s="37">
        <f t="shared" si="284"/>
        <v>0</v>
      </c>
      <c r="BE190" s="37">
        <v>0</v>
      </c>
      <c r="BF190" s="37">
        <f>190</f>
        <v>190</v>
      </c>
      <c r="BH190" s="37">
        <f t="shared" si="285"/>
        <v>0</v>
      </c>
      <c r="BI190" s="37">
        <f t="shared" si="286"/>
        <v>0</v>
      </c>
      <c r="BJ190" s="37">
        <f t="shared" si="287"/>
        <v>0</v>
      </c>
      <c r="BK190" s="37"/>
      <c r="BL190" s="37">
        <v>725</v>
      </c>
      <c r="BW190" s="37">
        <v>21</v>
      </c>
      <c r="BX190" s="3" t="s">
        <v>692</v>
      </c>
    </row>
    <row r="191" spans="1:76" x14ac:dyDescent="0.25">
      <c r="A191" s="1" t="s">
        <v>693</v>
      </c>
      <c r="B191" s="2" t="s">
        <v>694</v>
      </c>
      <c r="C191" s="279" t="s">
        <v>695</v>
      </c>
      <c r="D191" s="280"/>
      <c r="E191" s="2" t="s">
        <v>643</v>
      </c>
      <c r="F191" s="37">
        <v>1</v>
      </c>
      <c r="G191" s="78">
        <v>0</v>
      </c>
      <c r="H191" s="37">
        <f t="shared" si="266"/>
        <v>0</v>
      </c>
      <c r="I191" s="37">
        <f t="shared" si="267"/>
        <v>0</v>
      </c>
      <c r="J191" s="37">
        <f t="shared" si="268"/>
        <v>0</v>
      </c>
      <c r="K191" s="79" t="s">
        <v>223</v>
      </c>
      <c r="Z191" s="37">
        <f t="shared" si="269"/>
        <v>0</v>
      </c>
      <c r="AB191" s="37">
        <f t="shared" si="270"/>
        <v>0</v>
      </c>
      <c r="AC191" s="37">
        <f t="shared" si="271"/>
        <v>0</v>
      </c>
      <c r="AD191" s="37">
        <f t="shared" si="272"/>
        <v>0</v>
      </c>
      <c r="AE191" s="37">
        <f t="shared" si="273"/>
        <v>0</v>
      </c>
      <c r="AF191" s="37">
        <f t="shared" si="274"/>
        <v>0</v>
      </c>
      <c r="AG191" s="37">
        <f t="shared" si="275"/>
        <v>0</v>
      </c>
      <c r="AH191" s="37">
        <f t="shared" si="276"/>
        <v>0</v>
      </c>
      <c r="AI191" s="49" t="s">
        <v>89</v>
      </c>
      <c r="AJ191" s="37">
        <f t="shared" si="277"/>
        <v>0</v>
      </c>
      <c r="AK191" s="37">
        <f t="shared" si="278"/>
        <v>0</v>
      </c>
      <c r="AL191" s="37">
        <f t="shared" si="279"/>
        <v>0</v>
      </c>
      <c r="AN191" s="37">
        <v>21</v>
      </c>
      <c r="AO191" s="37">
        <f>G191*0.071747981</f>
        <v>0</v>
      </c>
      <c r="AP191" s="37">
        <f>G191*(1-0.071747981)</f>
        <v>0</v>
      </c>
      <c r="AQ191" s="72" t="s">
        <v>243</v>
      </c>
      <c r="AV191" s="37">
        <f t="shared" si="280"/>
        <v>0</v>
      </c>
      <c r="AW191" s="37">
        <f t="shared" si="281"/>
        <v>0</v>
      </c>
      <c r="AX191" s="37">
        <f t="shared" si="282"/>
        <v>0</v>
      </c>
      <c r="AY191" s="72" t="s">
        <v>659</v>
      </c>
      <c r="AZ191" s="72" t="s">
        <v>577</v>
      </c>
      <c r="BA191" s="49" t="s">
        <v>226</v>
      </c>
      <c r="BC191" s="37">
        <f t="shared" si="283"/>
        <v>0</v>
      </c>
      <c r="BD191" s="37">
        <f t="shared" si="284"/>
        <v>0</v>
      </c>
      <c r="BE191" s="37">
        <v>0</v>
      </c>
      <c r="BF191" s="37">
        <f>191</f>
        <v>191</v>
      </c>
      <c r="BH191" s="37">
        <f t="shared" si="285"/>
        <v>0</v>
      </c>
      <c r="BI191" s="37">
        <f t="shared" si="286"/>
        <v>0</v>
      </c>
      <c r="BJ191" s="37">
        <f t="shared" si="287"/>
        <v>0</v>
      </c>
      <c r="BK191" s="37"/>
      <c r="BL191" s="37">
        <v>725</v>
      </c>
      <c r="BW191" s="37">
        <v>21</v>
      </c>
      <c r="BX191" s="3" t="s">
        <v>695</v>
      </c>
    </row>
    <row r="192" spans="1:76" ht="25.5" x14ac:dyDescent="0.25">
      <c r="A192" s="1" t="s">
        <v>696</v>
      </c>
      <c r="B192" s="2" t="s">
        <v>697</v>
      </c>
      <c r="C192" s="279" t="s">
        <v>698</v>
      </c>
      <c r="D192" s="280"/>
      <c r="E192" s="2" t="s">
        <v>329</v>
      </c>
      <c r="F192" s="37">
        <v>1</v>
      </c>
      <c r="G192" s="78">
        <v>0</v>
      </c>
      <c r="H192" s="37">
        <f t="shared" si="266"/>
        <v>0</v>
      </c>
      <c r="I192" s="37">
        <f t="shared" si="267"/>
        <v>0</v>
      </c>
      <c r="J192" s="37">
        <f t="shared" si="268"/>
        <v>0</v>
      </c>
      <c r="K192" s="79" t="s">
        <v>334</v>
      </c>
      <c r="Z192" s="37">
        <f t="shared" si="269"/>
        <v>0</v>
      </c>
      <c r="AB192" s="37">
        <f t="shared" si="270"/>
        <v>0</v>
      </c>
      <c r="AC192" s="37">
        <f t="shared" si="271"/>
        <v>0</v>
      </c>
      <c r="AD192" s="37">
        <f t="shared" si="272"/>
        <v>0</v>
      </c>
      <c r="AE192" s="37">
        <f t="shared" si="273"/>
        <v>0</v>
      </c>
      <c r="AF192" s="37">
        <f t="shared" si="274"/>
        <v>0</v>
      </c>
      <c r="AG192" s="37">
        <f t="shared" si="275"/>
        <v>0</v>
      </c>
      <c r="AH192" s="37">
        <f t="shared" si="276"/>
        <v>0</v>
      </c>
      <c r="AI192" s="49" t="s">
        <v>89</v>
      </c>
      <c r="AJ192" s="37">
        <f t="shared" si="277"/>
        <v>0</v>
      </c>
      <c r="AK192" s="37">
        <f t="shared" si="278"/>
        <v>0</v>
      </c>
      <c r="AL192" s="37">
        <f t="shared" si="279"/>
        <v>0</v>
      </c>
      <c r="AN192" s="37">
        <v>21</v>
      </c>
      <c r="AO192" s="37">
        <f>G192*1</f>
        <v>0</v>
      </c>
      <c r="AP192" s="37">
        <f>G192*(1-1)</f>
        <v>0</v>
      </c>
      <c r="AQ192" s="72" t="s">
        <v>243</v>
      </c>
      <c r="AV192" s="37">
        <f t="shared" si="280"/>
        <v>0</v>
      </c>
      <c r="AW192" s="37">
        <f t="shared" si="281"/>
        <v>0</v>
      </c>
      <c r="AX192" s="37">
        <f t="shared" si="282"/>
        <v>0</v>
      </c>
      <c r="AY192" s="72" t="s">
        <v>659</v>
      </c>
      <c r="AZ192" s="72" t="s">
        <v>577</v>
      </c>
      <c r="BA192" s="49" t="s">
        <v>226</v>
      </c>
      <c r="BC192" s="37">
        <f t="shared" si="283"/>
        <v>0</v>
      </c>
      <c r="BD192" s="37">
        <f t="shared" si="284"/>
        <v>0</v>
      </c>
      <c r="BE192" s="37">
        <v>0</v>
      </c>
      <c r="BF192" s="37">
        <f>192</f>
        <v>192</v>
      </c>
      <c r="BH192" s="37">
        <f t="shared" si="285"/>
        <v>0</v>
      </c>
      <c r="BI192" s="37">
        <f t="shared" si="286"/>
        <v>0</v>
      </c>
      <c r="BJ192" s="37">
        <f t="shared" si="287"/>
        <v>0</v>
      </c>
      <c r="BK192" s="37"/>
      <c r="BL192" s="37">
        <v>725</v>
      </c>
      <c r="BW192" s="37">
        <v>21</v>
      </c>
      <c r="BX192" s="3" t="s">
        <v>698</v>
      </c>
    </row>
    <row r="193" spans="1:76" x14ac:dyDescent="0.25">
      <c r="A193" s="1" t="s">
        <v>699</v>
      </c>
      <c r="B193" s="2" t="s">
        <v>700</v>
      </c>
      <c r="C193" s="279" t="s">
        <v>701</v>
      </c>
      <c r="D193" s="280"/>
      <c r="E193" s="2" t="s">
        <v>63</v>
      </c>
      <c r="F193" s="37">
        <v>957.01739999999995</v>
      </c>
      <c r="G193" s="78">
        <v>0</v>
      </c>
      <c r="H193" s="37">
        <f t="shared" si="266"/>
        <v>0</v>
      </c>
      <c r="I193" s="37">
        <f t="shared" si="267"/>
        <v>0</v>
      </c>
      <c r="J193" s="37">
        <f t="shared" si="268"/>
        <v>0</v>
      </c>
      <c r="K193" s="79" t="s">
        <v>223</v>
      </c>
      <c r="Z193" s="37">
        <f t="shared" si="269"/>
        <v>0</v>
      </c>
      <c r="AB193" s="37">
        <f t="shared" si="270"/>
        <v>0</v>
      </c>
      <c r="AC193" s="37">
        <f t="shared" si="271"/>
        <v>0</v>
      </c>
      <c r="AD193" s="37">
        <f t="shared" si="272"/>
        <v>0</v>
      </c>
      <c r="AE193" s="37">
        <f t="shared" si="273"/>
        <v>0</v>
      </c>
      <c r="AF193" s="37">
        <f t="shared" si="274"/>
        <v>0</v>
      </c>
      <c r="AG193" s="37">
        <f t="shared" si="275"/>
        <v>0</v>
      </c>
      <c r="AH193" s="37">
        <f t="shared" si="276"/>
        <v>0</v>
      </c>
      <c r="AI193" s="49" t="s">
        <v>89</v>
      </c>
      <c r="AJ193" s="37">
        <f t="shared" si="277"/>
        <v>0</v>
      </c>
      <c r="AK193" s="37">
        <f t="shared" si="278"/>
        <v>0</v>
      </c>
      <c r="AL193" s="37">
        <f t="shared" si="279"/>
        <v>0</v>
      </c>
      <c r="AN193" s="37">
        <v>21</v>
      </c>
      <c r="AO193" s="37">
        <f>G193*0</f>
        <v>0</v>
      </c>
      <c r="AP193" s="37">
        <f>G193*(1-0)</f>
        <v>0</v>
      </c>
      <c r="AQ193" s="72" t="s">
        <v>237</v>
      </c>
      <c r="AV193" s="37">
        <f t="shared" si="280"/>
        <v>0</v>
      </c>
      <c r="AW193" s="37">
        <f t="shared" si="281"/>
        <v>0</v>
      </c>
      <c r="AX193" s="37">
        <f t="shared" si="282"/>
        <v>0</v>
      </c>
      <c r="AY193" s="72" t="s">
        <v>659</v>
      </c>
      <c r="AZ193" s="72" t="s">
        <v>577</v>
      </c>
      <c r="BA193" s="49" t="s">
        <v>226</v>
      </c>
      <c r="BC193" s="37">
        <f t="shared" si="283"/>
        <v>0</v>
      </c>
      <c r="BD193" s="37">
        <f t="shared" si="284"/>
        <v>0</v>
      </c>
      <c r="BE193" s="37">
        <v>0</v>
      </c>
      <c r="BF193" s="37">
        <f>193</f>
        <v>193</v>
      </c>
      <c r="BH193" s="37">
        <f t="shared" si="285"/>
        <v>0</v>
      </c>
      <c r="BI193" s="37">
        <f t="shared" si="286"/>
        <v>0</v>
      </c>
      <c r="BJ193" s="37">
        <f t="shared" si="287"/>
        <v>0</v>
      </c>
      <c r="BK193" s="37"/>
      <c r="BL193" s="37">
        <v>725</v>
      </c>
      <c r="BW193" s="37">
        <v>21</v>
      </c>
      <c r="BX193" s="3" t="s">
        <v>701</v>
      </c>
    </row>
    <row r="194" spans="1:76" x14ac:dyDescent="0.25">
      <c r="A194" s="80" t="s">
        <v>4</v>
      </c>
      <c r="B194" s="81" t="s">
        <v>139</v>
      </c>
      <c r="C194" s="365" t="s">
        <v>140</v>
      </c>
      <c r="D194" s="366"/>
      <c r="E194" s="82" t="s">
        <v>81</v>
      </c>
      <c r="F194" s="82" t="s">
        <v>81</v>
      </c>
      <c r="G194" s="83" t="s">
        <v>81</v>
      </c>
      <c r="H194" s="43">
        <f>SUM(H195:H226)</f>
        <v>0</v>
      </c>
      <c r="I194" s="43">
        <f>SUM(I195:I226)</f>
        <v>0</v>
      </c>
      <c r="J194" s="43">
        <f>SUM(J195:J226)</f>
        <v>0</v>
      </c>
      <c r="K194" s="84" t="s">
        <v>4</v>
      </c>
      <c r="AI194" s="49" t="s">
        <v>89</v>
      </c>
      <c r="AS194" s="43">
        <f>SUM(AJ195:AJ226)</f>
        <v>0</v>
      </c>
      <c r="AT194" s="43">
        <f>SUM(AK195:AK226)</f>
        <v>0</v>
      </c>
      <c r="AU194" s="43">
        <f>SUM(AL195:AL226)</f>
        <v>0</v>
      </c>
    </row>
    <row r="195" spans="1:76" x14ac:dyDescent="0.25">
      <c r="A195" s="1" t="s">
        <v>702</v>
      </c>
      <c r="B195" s="2" t="s">
        <v>703</v>
      </c>
      <c r="C195" s="279" t="s">
        <v>704</v>
      </c>
      <c r="D195" s="280"/>
      <c r="E195" s="2" t="s">
        <v>643</v>
      </c>
      <c r="F195" s="37">
        <v>1</v>
      </c>
      <c r="G195" s="78">
        <v>0</v>
      </c>
      <c r="H195" s="37">
        <f>F195*AO195</f>
        <v>0</v>
      </c>
      <c r="I195" s="37">
        <f>F195*AP195</f>
        <v>0</v>
      </c>
      <c r="J195" s="37">
        <f>F195*G195</f>
        <v>0</v>
      </c>
      <c r="K195" s="79" t="s">
        <v>334</v>
      </c>
      <c r="Z195" s="37">
        <f>IF(AQ195="5",BJ195,0)</f>
        <v>0</v>
      </c>
      <c r="AB195" s="37">
        <f>IF(AQ195="1",BH195,0)</f>
        <v>0</v>
      </c>
      <c r="AC195" s="37">
        <f>IF(AQ195="1",BI195,0)</f>
        <v>0</v>
      </c>
      <c r="AD195" s="37">
        <f>IF(AQ195="7",BH195,0)</f>
        <v>0</v>
      </c>
      <c r="AE195" s="37">
        <f>IF(AQ195="7",BI195,0)</f>
        <v>0</v>
      </c>
      <c r="AF195" s="37">
        <f>IF(AQ195="2",BH195,0)</f>
        <v>0</v>
      </c>
      <c r="AG195" s="37">
        <f>IF(AQ195="2",BI195,0)</f>
        <v>0</v>
      </c>
      <c r="AH195" s="37">
        <f>IF(AQ195="0",BJ195,0)</f>
        <v>0</v>
      </c>
      <c r="AI195" s="49" t="s">
        <v>89</v>
      </c>
      <c r="AJ195" s="37">
        <f>IF(AN195=0,J195,0)</f>
        <v>0</v>
      </c>
      <c r="AK195" s="37">
        <f>IF(AN195=12,J195,0)</f>
        <v>0</v>
      </c>
      <c r="AL195" s="37">
        <f>IF(AN195=21,J195,0)</f>
        <v>0</v>
      </c>
      <c r="AN195" s="37">
        <v>21</v>
      </c>
      <c r="AO195" s="37">
        <f>G195*0</f>
        <v>0</v>
      </c>
      <c r="AP195" s="37">
        <f>G195*(1-0)</f>
        <v>0</v>
      </c>
      <c r="AQ195" s="72" t="s">
        <v>243</v>
      </c>
      <c r="AV195" s="37">
        <f>AW195+AX195</f>
        <v>0</v>
      </c>
      <c r="AW195" s="37">
        <f>F195*AO195</f>
        <v>0</v>
      </c>
      <c r="AX195" s="37">
        <f>F195*AP195</f>
        <v>0</v>
      </c>
      <c r="AY195" s="72" t="s">
        <v>705</v>
      </c>
      <c r="AZ195" s="72" t="s">
        <v>577</v>
      </c>
      <c r="BA195" s="49" t="s">
        <v>226</v>
      </c>
      <c r="BC195" s="37">
        <f>AW195+AX195</f>
        <v>0</v>
      </c>
      <c r="BD195" s="37">
        <f>G195/(100-BE195)*100</f>
        <v>0</v>
      </c>
      <c r="BE195" s="37">
        <v>0</v>
      </c>
      <c r="BF195" s="37">
        <f>195</f>
        <v>195</v>
      </c>
      <c r="BH195" s="37">
        <f>F195*AO195</f>
        <v>0</v>
      </c>
      <c r="BI195" s="37">
        <f>F195*AP195</f>
        <v>0</v>
      </c>
      <c r="BJ195" s="37">
        <f>F195*G195</f>
        <v>0</v>
      </c>
      <c r="BK195" s="37"/>
      <c r="BL195" s="37">
        <v>728</v>
      </c>
      <c r="BW195" s="37">
        <v>21</v>
      </c>
      <c r="BX195" s="3" t="s">
        <v>704</v>
      </c>
    </row>
    <row r="196" spans="1:76" ht="27" customHeight="1" x14ac:dyDescent="0.25">
      <c r="A196" s="85"/>
      <c r="B196" s="86" t="s">
        <v>57</v>
      </c>
      <c r="C196" s="367" t="s">
        <v>706</v>
      </c>
      <c r="D196" s="368"/>
      <c r="E196" s="368"/>
      <c r="F196" s="368"/>
      <c r="G196" s="369"/>
      <c r="H196" s="368"/>
      <c r="I196" s="368"/>
      <c r="J196" s="368"/>
      <c r="K196" s="370"/>
    </row>
    <row r="197" spans="1:76" x14ac:dyDescent="0.25">
      <c r="A197" s="1" t="s">
        <v>707</v>
      </c>
      <c r="B197" s="2" t="s">
        <v>708</v>
      </c>
      <c r="C197" s="279" t="s">
        <v>709</v>
      </c>
      <c r="D197" s="280"/>
      <c r="E197" s="2" t="s">
        <v>329</v>
      </c>
      <c r="F197" s="37">
        <v>1</v>
      </c>
      <c r="G197" s="78">
        <v>0</v>
      </c>
      <c r="H197" s="37">
        <f t="shared" ref="H197:H226" si="288">F197*AO197</f>
        <v>0</v>
      </c>
      <c r="I197" s="37">
        <f t="shared" ref="I197:I226" si="289">F197*AP197</f>
        <v>0</v>
      </c>
      <c r="J197" s="37">
        <f t="shared" ref="J197:J226" si="290">F197*G197</f>
        <v>0</v>
      </c>
      <c r="K197" s="79" t="s">
        <v>334</v>
      </c>
      <c r="Z197" s="37">
        <f t="shared" ref="Z197:Z226" si="291">IF(AQ197="5",BJ197,0)</f>
        <v>0</v>
      </c>
      <c r="AB197" s="37">
        <f t="shared" ref="AB197:AB226" si="292">IF(AQ197="1",BH197,0)</f>
        <v>0</v>
      </c>
      <c r="AC197" s="37">
        <f t="shared" ref="AC197:AC226" si="293">IF(AQ197="1",BI197,0)</f>
        <v>0</v>
      </c>
      <c r="AD197" s="37">
        <f t="shared" ref="AD197:AD226" si="294">IF(AQ197="7",BH197,0)</f>
        <v>0</v>
      </c>
      <c r="AE197" s="37">
        <f t="shared" ref="AE197:AE226" si="295">IF(AQ197="7",BI197,0)</f>
        <v>0</v>
      </c>
      <c r="AF197" s="37">
        <f t="shared" ref="AF197:AF226" si="296">IF(AQ197="2",BH197,0)</f>
        <v>0</v>
      </c>
      <c r="AG197" s="37">
        <f t="shared" ref="AG197:AG226" si="297">IF(AQ197="2",BI197,0)</f>
        <v>0</v>
      </c>
      <c r="AH197" s="37">
        <f t="shared" ref="AH197:AH226" si="298">IF(AQ197="0",BJ197,0)</f>
        <v>0</v>
      </c>
      <c r="AI197" s="49" t="s">
        <v>89</v>
      </c>
      <c r="AJ197" s="37">
        <f t="shared" ref="AJ197:AJ226" si="299">IF(AN197=0,J197,0)</f>
        <v>0</v>
      </c>
      <c r="AK197" s="37">
        <f t="shared" ref="AK197:AK226" si="300">IF(AN197=12,J197,0)</f>
        <v>0</v>
      </c>
      <c r="AL197" s="37">
        <f t="shared" ref="AL197:AL226" si="301">IF(AN197=21,J197,0)</f>
        <v>0</v>
      </c>
      <c r="AN197" s="37">
        <v>21</v>
      </c>
      <c r="AO197" s="37">
        <f t="shared" ref="AO197:AO213" si="302">G197*0</f>
        <v>0</v>
      </c>
      <c r="AP197" s="37">
        <f t="shared" ref="AP197:AP213" si="303">G197*(1-0)</f>
        <v>0</v>
      </c>
      <c r="AQ197" s="72" t="s">
        <v>243</v>
      </c>
      <c r="AV197" s="37">
        <f t="shared" ref="AV197:AV226" si="304">AW197+AX197</f>
        <v>0</v>
      </c>
      <c r="AW197" s="37">
        <f t="shared" ref="AW197:AW226" si="305">F197*AO197</f>
        <v>0</v>
      </c>
      <c r="AX197" s="37">
        <f t="shared" ref="AX197:AX226" si="306">F197*AP197</f>
        <v>0</v>
      </c>
      <c r="AY197" s="72" t="s">
        <v>705</v>
      </c>
      <c r="AZ197" s="72" t="s">
        <v>577</v>
      </c>
      <c r="BA197" s="49" t="s">
        <v>226</v>
      </c>
      <c r="BC197" s="37">
        <f t="shared" ref="BC197:BC226" si="307">AW197+AX197</f>
        <v>0</v>
      </c>
      <c r="BD197" s="37">
        <f t="shared" ref="BD197:BD226" si="308">G197/(100-BE197)*100</f>
        <v>0</v>
      </c>
      <c r="BE197" s="37">
        <v>0</v>
      </c>
      <c r="BF197" s="37">
        <f>197</f>
        <v>197</v>
      </c>
      <c r="BH197" s="37">
        <f t="shared" ref="BH197:BH226" si="309">F197*AO197</f>
        <v>0</v>
      </c>
      <c r="BI197" s="37">
        <f t="shared" ref="BI197:BI226" si="310">F197*AP197</f>
        <v>0</v>
      </c>
      <c r="BJ197" s="37">
        <f t="shared" ref="BJ197:BJ226" si="311">F197*G197</f>
        <v>0</v>
      </c>
      <c r="BK197" s="37"/>
      <c r="BL197" s="37">
        <v>728</v>
      </c>
      <c r="BW197" s="37">
        <v>21</v>
      </c>
      <c r="BX197" s="3" t="s">
        <v>709</v>
      </c>
    </row>
    <row r="198" spans="1:76" x14ac:dyDescent="0.25">
      <c r="A198" s="1" t="s">
        <v>710</v>
      </c>
      <c r="B198" s="2" t="s">
        <v>711</v>
      </c>
      <c r="C198" s="279" t="s">
        <v>712</v>
      </c>
      <c r="D198" s="280"/>
      <c r="E198" s="2" t="s">
        <v>643</v>
      </c>
      <c r="F198" s="37">
        <v>1</v>
      </c>
      <c r="G198" s="78">
        <v>0</v>
      </c>
      <c r="H198" s="37">
        <f t="shared" si="288"/>
        <v>0</v>
      </c>
      <c r="I198" s="37">
        <f t="shared" si="289"/>
        <v>0</v>
      </c>
      <c r="J198" s="37">
        <f t="shared" si="290"/>
        <v>0</v>
      </c>
      <c r="K198" s="79" t="s">
        <v>713</v>
      </c>
      <c r="Z198" s="37">
        <f t="shared" si="291"/>
        <v>0</v>
      </c>
      <c r="AB198" s="37">
        <f t="shared" si="292"/>
        <v>0</v>
      </c>
      <c r="AC198" s="37">
        <f t="shared" si="293"/>
        <v>0</v>
      </c>
      <c r="AD198" s="37">
        <f t="shared" si="294"/>
        <v>0</v>
      </c>
      <c r="AE198" s="37">
        <f t="shared" si="295"/>
        <v>0</v>
      </c>
      <c r="AF198" s="37">
        <f t="shared" si="296"/>
        <v>0</v>
      </c>
      <c r="AG198" s="37">
        <f t="shared" si="297"/>
        <v>0</v>
      </c>
      <c r="AH198" s="37">
        <f t="shared" si="298"/>
        <v>0</v>
      </c>
      <c r="AI198" s="49" t="s">
        <v>89</v>
      </c>
      <c r="AJ198" s="37">
        <f t="shared" si="299"/>
        <v>0</v>
      </c>
      <c r="AK198" s="37">
        <f t="shared" si="300"/>
        <v>0</v>
      </c>
      <c r="AL198" s="37">
        <f t="shared" si="301"/>
        <v>0</v>
      </c>
      <c r="AN198" s="37">
        <v>21</v>
      </c>
      <c r="AO198" s="37">
        <f t="shared" si="302"/>
        <v>0</v>
      </c>
      <c r="AP198" s="37">
        <f t="shared" si="303"/>
        <v>0</v>
      </c>
      <c r="AQ198" s="72" t="s">
        <v>243</v>
      </c>
      <c r="AV198" s="37">
        <f t="shared" si="304"/>
        <v>0</v>
      </c>
      <c r="AW198" s="37">
        <f t="shared" si="305"/>
        <v>0</v>
      </c>
      <c r="AX198" s="37">
        <f t="shared" si="306"/>
        <v>0</v>
      </c>
      <c r="AY198" s="72" t="s">
        <v>705</v>
      </c>
      <c r="AZ198" s="72" t="s">
        <v>577</v>
      </c>
      <c r="BA198" s="49" t="s">
        <v>226</v>
      </c>
      <c r="BC198" s="37">
        <f t="shared" si="307"/>
        <v>0</v>
      </c>
      <c r="BD198" s="37">
        <f t="shared" si="308"/>
        <v>0</v>
      </c>
      <c r="BE198" s="37">
        <v>0</v>
      </c>
      <c r="BF198" s="37">
        <f>198</f>
        <v>198</v>
      </c>
      <c r="BH198" s="37">
        <f t="shared" si="309"/>
        <v>0</v>
      </c>
      <c r="BI198" s="37">
        <f t="shared" si="310"/>
        <v>0</v>
      </c>
      <c r="BJ198" s="37">
        <f t="shared" si="311"/>
        <v>0</v>
      </c>
      <c r="BK198" s="37"/>
      <c r="BL198" s="37">
        <v>728</v>
      </c>
      <c r="BW198" s="37">
        <v>21</v>
      </c>
      <c r="BX198" s="3" t="s">
        <v>712</v>
      </c>
    </row>
    <row r="199" spans="1:76" ht="25.5" x14ac:dyDescent="0.25">
      <c r="A199" s="1" t="s">
        <v>714</v>
      </c>
      <c r="B199" s="2" t="s">
        <v>715</v>
      </c>
      <c r="C199" s="279" t="s">
        <v>716</v>
      </c>
      <c r="D199" s="280"/>
      <c r="E199" s="2" t="s">
        <v>643</v>
      </c>
      <c r="F199" s="37">
        <v>1</v>
      </c>
      <c r="G199" s="78">
        <v>0</v>
      </c>
      <c r="H199" s="37">
        <f t="shared" si="288"/>
        <v>0</v>
      </c>
      <c r="I199" s="37">
        <f t="shared" si="289"/>
        <v>0</v>
      </c>
      <c r="J199" s="37">
        <f t="shared" si="290"/>
        <v>0</v>
      </c>
      <c r="K199" s="79" t="s">
        <v>334</v>
      </c>
      <c r="Z199" s="37">
        <f t="shared" si="291"/>
        <v>0</v>
      </c>
      <c r="AB199" s="37">
        <f t="shared" si="292"/>
        <v>0</v>
      </c>
      <c r="AC199" s="37">
        <f t="shared" si="293"/>
        <v>0</v>
      </c>
      <c r="AD199" s="37">
        <f t="shared" si="294"/>
        <v>0</v>
      </c>
      <c r="AE199" s="37">
        <f t="shared" si="295"/>
        <v>0</v>
      </c>
      <c r="AF199" s="37">
        <f t="shared" si="296"/>
        <v>0</v>
      </c>
      <c r="AG199" s="37">
        <f t="shared" si="297"/>
        <v>0</v>
      </c>
      <c r="AH199" s="37">
        <f t="shared" si="298"/>
        <v>0</v>
      </c>
      <c r="AI199" s="49" t="s">
        <v>89</v>
      </c>
      <c r="AJ199" s="37">
        <f t="shared" si="299"/>
        <v>0</v>
      </c>
      <c r="AK199" s="37">
        <f t="shared" si="300"/>
        <v>0</v>
      </c>
      <c r="AL199" s="37">
        <f t="shared" si="301"/>
        <v>0</v>
      </c>
      <c r="AN199" s="37">
        <v>21</v>
      </c>
      <c r="AO199" s="37">
        <f t="shared" si="302"/>
        <v>0</v>
      </c>
      <c r="AP199" s="37">
        <f t="shared" si="303"/>
        <v>0</v>
      </c>
      <c r="AQ199" s="72" t="s">
        <v>243</v>
      </c>
      <c r="AV199" s="37">
        <f t="shared" si="304"/>
        <v>0</v>
      </c>
      <c r="AW199" s="37">
        <f t="shared" si="305"/>
        <v>0</v>
      </c>
      <c r="AX199" s="37">
        <f t="shared" si="306"/>
        <v>0</v>
      </c>
      <c r="AY199" s="72" t="s">
        <v>705</v>
      </c>
      <c r="AZ199" s="72" t="s">
        <v>577</v>
      </c>
      <c r="BA199" s="49" t="s">
        <v>226</v>
      </c>
      <c r="BC199" s="37">
        <f t="shared" si="307"/>
        <v>0</v>
      </c>
      <c r="BD199" s="37">
        <f t="shared" si="308"/>
        <v>0</v>
      </c>
      <c r="BE199" s="37">
        <v>0</v>
      </c>
      <c r="BF199" s="37">
        <f>199</f>
        <v>199</v>
      </c>
      <c r="BH199" s="37">
        <f t="shared" si="309"/>
        <v>0</v>
      </c>
      <c r="BI199" s="37">
        <f t="shared" si="310"/>
        <v>0</v>
      </c>
      <c r="BJ199" s="37">
        <f t="shared" si="311"/>
        <v>0</v>
      </c>
      <c r="BK199" s="37"/>
      <c r="BL199" s="37">
        <v>728</v>
      </c>
      <c r="BW199" s="37">
        <v>21</v>
      </c>
      <c r="BX199" s="3" t="s">
        <v>716</v>
      </c>
    </row>
    <row r="200" spans="1:76" x14ac:dyDescent="0.25">
      <c r="A200" s="1" t="s">
        <v>717</v>
      </c>
      <c r="B200" s="2" t="s">
        <v>718</v>
      </c>
      <c r="C200" s="279" t="s">
        <v>719</v>
      </c>
      <c r="D200" s="280"/>
      <c r="E200" s="2" t="s">
        <v>643</v>
      </c>
      <c r="F200" s="37">
        <v>1</v>
      </c>
      <c r="G200" s="78">
        <v>0</v>
      </c>
      <c r="H200" s="37">
        <f t="shared" si="288"/>
        <v>0</v>
      </c>
      <c r="I200" s="37">
        <f t="shared" si="289"/>
        <v>0</v>
      </c>
      <c r="J200" s="37">
        <f t="shared" si="290"/>
        <v>0</v>
      </c>
      <c r="K200" s="79" t="s">
        <v>334</v>
      </c>
      <c r="Z200" s="37">
        <f t="shared" si="291"/>
        <v>0</v>
      </c>
      <c r="AB200" s="37">
        <f t="shared" si="292"/>
        <v>0</v>
      </c>
      <c r="AC200" s="37">
        <f t="shared" si="293"/>
        <v>0</v>
      </c>
      <c r="AD200" s="37">
        <f t="shared" si="294"/>
        <v>0</v>
      </c>
      <c r="AE200" s="37">
        <f t="shared" si="295"/>
        <v>0</v>
      </c>
      <c r="AF200" s="37">
        <f t="shared" si="296"/>
        <v>0</v>
      </c>
      <c r="AG200" s="37">
        <f t="shared" si="297"/>
        <v>0</v>
      </c>
      <c r="AH200" s="37">
        <f t="shared" si="298"/>
        <v>0</v>
      </c>
      <c r="AI200" s="49" t="s">
        <v>89</v>
      </c>
      <c r="AJ200" s="37">
        <f t="shared" si="299"/>
        <v>0</v>
      </c>
      <c r="AK200" s="37">
        <f t="shared" si="300"/>
        <v>0</v>
      </c>
      <c r="AL200" s="37">
        <f t="shared" si="301"/>
        <v>0</v>
      </c>
      <c r="AN200" s="37">
        <v>21</v>
      </c>
      <c r="AO200" s="37">
        <f t="shared" si="302"/>
        <v>0</v>
      </c>
      <c r="AP200" s="37">
        <f t="shared" si="303"/>
        <v>0</v>
      </c>
      <c r="AQ200" s="72" t="s">
        <v>243</v>
      </c>
      <c r="AV200" s="37">
        <f t="shared" si="304"/>
        <v>0</v>
      </c>
      <c r="AW200" s="37">
        <f t="shared" si="305"/>
        <v>0</v>
      </c>
      <c r="AX200" s="37">
        <f t="shared" si="306"/>
        <v>0</v>
      </c>
      <c r="AY200" s="72" t="s">
        <v>705</v>
      </c>
      <c r="AZ200" s="72" t="s">
        <v>577</v>
      </c>
      <c r="BA200" s="49" t="s">
        <v>226</v>
      </c>
      <c r="BC200" s="37">
        <f t="shared" si="307"/>
        <v>0</v>
      </c>
      <c r="BD200" s="37">
        <f t="shared" si="308"/>
        <v>0</v>
      </c>
      <c r="BE200" s="37">
        <v>0</v>
      </c>
      <c r="BF200" s="37">
        <f>200</f>
        <v>200</v>
      </c>
      <c r="BH200" s="37">
        <f t="shared" si="309"/>
        <v>0</v>
      </c>
      <c r="BI200" s="37">
        <f t="shared" si="310"/>
        <v>0</v>
      </c>
      <c r="BJ200" s="37">
        <f t="shared" si="311"/>
        <v>0</v>
      </c>
      <c r="BK200" s="37"/>
      <c r="BL200" s="37">
        <v>728</v>
      </c>
      <c r="BW200" s="37">
        <v>21</v>
      </c>
      <c r="BX200" s="3" t="s">
        <v>719</v>
      </c>
    </row>
    <row r="201" spans="1:76" x14ac:dyDescent="0.25">
      <c r="A201" s="1" t="s">
        <v>720</v>
      </c>
      <c r="B201" s="2" t="s">
        <v>721</v>
      </c>
      <c r="C201" s="279" t="s">
        <v>722</v>
      </c>
      <c r="D201" s="280"/>
      <c r="E201" s="2" t="s">
        <v>329</v>
      </c>
      <c r="F201" s="37">
        <v>1</v>
      </c>
      <c r="G201" s="78">
        <v>0</v>
      </c>
      <c r="H201" s="37">
        <f t="shared" si="288"/>
        <v>0</v>
      </c>
      <c r="I201" s="37">
        <f t="shared" si="289"/>
        <v>0</v>
      </c>
      <c r="J201" s="37">
        <f t="shared" si="290"/>
        <v>0</v>
      </c>
      <c r="K201" s="79" t="s">
        <v>334</v>
      </c>
      <c r="Z201" s="37">
        <f t="shared" si="291"/>
        <v>0</v>
      </c>
      <c r="AB201" s="37">
        <f t="shared" si="292"/>
        <v>0</v>
      </c>
      <c r="AC201" s="37">
        <f t="shared" si="293"/>
        <v>0</v>
      </c>
      <c r="AD201" s="37">
        <f t="shared" si="294"/>
        <v>0</v>
      </c>
      <c r="AE201" s="37">
        <f t="shared" si="295"/>
        <v>0</v>
      </c>
      <c r="AF201" s="37">
        <f t="shared" si="296"/>
        <v>0</v>
      </c>
      <c r="AG201" s="37">
        <f t="shared" si="297"/>
        <v>0</v>
      </c>
      <c r="AH201" s="37">
        <f t="shared" si="298"/>
        <v>0</v>
      </c>
      <c r="AI201" s="49" t="s">
        <v>89</v>
      </c>
      <c r="AJ201" s="37">
        <f t="shared" si="299"/>
        <v>0</v>
      </c>
      <c r="AK201" s="37">
        <f t="shared" si="300"/>
        <v>0</v>
      </c>
      <c r="AL201" s="37">
        <f t="shared" si="301"/>
        <v>0</v>
      </c>
      <c r="AN201" s="37">
        <v>21</v>
      </c>
      <c r="AO201" s="37">
        <f t="shared" si="302"/>
        <v>0</v>
      </c>
      <c r="AP201" s="37">
        <f t="shared" si="303"/>
        <v>0</v>
      </c>
      <c r="AQ201" s="72" t="s">
        <v>243</v>
      </c>
      <c r="AV201" s="37">
        <f t="shared" si="304"/>
        <v>0</v>
      </c>
      <c r="AW201" s="37">
        <f t="shared" si="305"/>
        <v>0</v>
      </c>
      <c r="AX201" s="37">
        <f t="shared" si="306"/>
        <v>0</v>
      </c>
      <c r="AY201" s="72" t="s">
        <v>705</v>
      </c>
      <c r="AZ201" s="72" t="s">
        <v>577</v>
      </c>
      <c r="BA201" s="49" t="s">
        <v>226</v>
      </c>
      <c r="BC201" s="37">
        <f t="shared" si="307"/>
        <v>0</v>
      </c>
      <c r="BD201" s="37">
        <f t="shared" si="308"/>
        <v>0</v>
      </c>
      <c r="BE201" s="37">
        <v>0</v>
      </c>
      <c r="BF201" s="37">
        <f>201</f>
        <v>201</v>
      </c>
      <c r="BH201" s="37">
        <f t="shared" si="309"/>
        <v>0</v>
      </c>
      <c r="BI201" s="37">
        <f t="shared" si="310"/>
        <v>0</v>
      </c>
      <c r="BJ201" s="37">
        <f t="shared" si="311"/>
        <v>0</v>
      </c>
      <c r="BK201" s="37"/>
      <c r="BL201" s="37">
        <v>728</v>
      </c>
      <c r="BW201" s="37">
        <v>21</v>
      </c>
      <c r="BX201" s="3" t="s">
        <v>722</v>
      </c>
    </row>
    <row r="202" spans="1:76" x14ac:dyDescent="0.25">
      <c r="A202" s="1" t="s">
        <v>723</v>
      </c>
      <c r="B202" s="2" t="s">
        <v>724</v>
      </c>
      <c r="C202" s="279" t="s">
        <v>725</v>
      </c>
      <c r="D202" s="280"/>
      <c r="E202" s="2" t="s">
        <v>329</v>
      </c>
      <c r="F202" s="37">
        <v>1</v>
      </c>
      <c r="G202" s="78">
        <v>0</v>
      </c>
      <c r="H202" s="37">
        <f t="shared" si="288"/>
        <v>0</v>
      </c>
      <c r="I202" s="37">
        <f t="shared" si="289"/>
        <v>0</v>
      </c>
      <c r="J202" s="37">
        <f t="shared" si="290"/>
        <v>0</v>
      </c>
      <c r="K202" s="79" t="s">
        <v>334</v>
      </c>
      <c r="Z202" s="37">
        <f t="shared" si="291"/>
        <v>0</v>
      </c>
      <c r="AB202" s="37">
        <f t="shared" si="292"/>
        <v>0</v>
      </c>
      <c r="AC202" s="37">
        <f t="shared" si="293"/>
        <v>0</v>
      </c>
      <c r="AD202" s="37">
        <f t="shared" si="294"/>
        <v>0</v>
      </c>
      <c r="AE202" s="37">
        <f t="shared" si="295"/>
        <v>0</v>
      </c>
      <c r="AF202" s="37">
        <f t="shared" si="296"/>
        <v>0</v>
      </c>
      <c r="AG202" s="37">
        <f t="shared" si="297"/>
        <v>0</v>
      </c>
      <c r="AH202" s="37">
        <f t="shared" si="298"/>
        <v>0</v>
      </c>
      <c r="AI202" s="49" t="s">
        <v>89</v>
      </c>
      <c r="AJ202" s="37">
        <f t="shared" si="299"/>
        <v>0</v>
      </c>
      <c r="AK202" s="37">
        <f t="shared" si="300"/>
        <v>0</v>
      </c>
      <c r="AL202" s="37">
        <f t="shared" si="301"/>
        <v>0</v>
      </c>
      <c r="AN202" s="37">
        <v>21</v>
      </c>
      <c r="AO202" s="37">
        <f t="shared" si="302"/>
        <v>0</v>
      </c>
      <c r="AP202" s="37">
        <f t="shared" si="303"/>
        <v>0</v>
      </c>
      <c r="AQ202" s="72" t="s">
        <v>243</v>
      </c>
      <c r="AV202" s="37">
        <f t="shared" si="304"/>
        <v>0</v>
      </c>
      <c r="AW202" s="37">
        <f t="shared" si="305"/>
        <v>0</v>
      </c>
      <c r="AX202" s="37">
        <f t="shared" si="306"/>
        <v>0</v>
      </c>
      <c r="AY202" s="72" t="s">
        <v>705</v>
      </c>
      <c r="AZ202" s="72" t="s">
        <v>577</v>
      </c>
      <c r="BA202" s="49" t="s">
        <v>226</v>
      </c>
      <c r="BC202" s="37">
        <f t="shared" si="307"/>
        <v>0</v>
      </c>
      <c r="BD202" s="37">
        <f t="shared" si="308"/>
        <v>0</v>
      </c>
      <c r="BE202" s="37">
        <v>0</v>
      </c>
      <c r="BF202" s="37">
        <f>202</f>
        <v>202</v>
      </c>
      <c r="BH202" s="37">
        <f t="shared" si="309"/>
        <v>0</v>
      </c>
      <c r="BI202" s="37">
        <f t="shared" si="310"/>
        <v>0</v>
      </c>
      <c r="BJ202" s="37">
        <f t="shared" si="311"/>
        <v>0</v>
      </c>
      <c r="BK202" s="37"/>
      <c r="BL202" s="37">
        <v>728</v>
      </c>
      <c r="BW202" s="37">
        <v>21</v>
      </c>
      <c r="BX202" s="3" t="s">
        <v>725</v>
      </c>
    </row>
    <row r="203" spans="1:76" x14ac:dyDescent="0.25">
      <c r="A203" s="1" t="s">
        <v>726</v>
      </c>
      <c r="B203" s="2" t="s">
        <v>727</v>
      </c>
      <c r="C203" s="279" t="s">
        <v>728</v>
      </c>
      <c r="D203" s="280"/>
      <c r="E203" s="2" t="s">
        <v>329</v>
      </c>
      <c r="F203" s="37">
        <v>4</v>
      </c>
      <c r="G203" s="78">
        <v>0</v>
      </c>
      <c r="H203" s="37">
        <f t="shared" si="288"/>
        <v>0</v>
      </c>
      <c r="I203" s="37">
        <f t="shared" si="289"/>
        <v>0</v>
      </c>
      <c r="J203" s="37">
        <f t="shared" si="290"/>
        <v>0</v>
      </c>
      <c r="K203" s="79" t="s">
        <v>334</v>
      </c>
      <c r="Z203" s="37">
        <f t="shared" si="291"/>
        <v>0</v>
      </c>
      <c r="AB203" s="37">
        <f t="shared" si="292"/>
        <v>0</v>
      </c>
      <c r="AC203" s="37">
        <f t="shared" si="293"/>
        <v>0</v>
      </c>
      <c r="AD203" s="37">
        <f t="shared" si="294"/>
        <v>0</v>
      </c>
      <c r="AE203" s="37">
        <f t="shared" si="295"/>
        <v>0</v>
      </c>
      <c r="AF203" s="37">
        <f t="shared" si="296"/>
        <v>0</v>
      </c>
      <c r="AG203" s="37">
        <f t="shared" si="297"/>
        <v>0</v>
      </c>
      <c r="AH203" s="37">
        <f t="shared" si="298"/>
        <v>0</v>
      </c>
      <c r="AI203" s="49" t="s">
        <v>89</v>
      </c>
      <c r="AJ203" s="37">
        <f t="shared" si="299"/>
        <v>0</v>
      </c>
      <c r="AK203" s="37">
        <f t="shared" si="300"/>
        <v>0</v>
      </c>
      <c r="AL203" s="37">
        <f t="shared" si="301"/>
        <v>0</v>
      </c>
      <c r="AN203" s="37">
        <v>21</v>
      </c>
      <c r="AO203" s="37">
        <f t="shared" si="302"/>
        <v>0</v>
      </c>
      <c r="AP203" s="37">
        <f t="shared" si="303"/>
        <v>0</v>
      </c>
      <c r="AQ203" s="72" t="s">
        <v>243</v>
      </c>
      <c r="AV203" s="37">
        <f t="shared" si="304"/>
        <v>0</v>
      </c>
      <c r="AW203" s="37">
        <f t="shared" si="305"/>
        <v>0</v>
      </c>
      <c r="AX203" s="37">
        <f t="shared" si="306"/>
        <v>0</v>
      </c>
      <c r="AY203" s="72" t="s">
        <v>705</v>
      </c>
      <c r="AZ203" s="72" t="s">
        <v>577</v>
      </c>
      <c r="BA203" s="49" t="s">
        <v>226</v>
      </c>
      <c r="BC203" s="37">
        <f t="shared" si="307"/>
        <v>0</v>
      </c>
      <c r="BD203" s="37">
        <f t="shared" si="308"/>
        <v>0</v>
      </c>
      <c r="BE203" s="37">
        <v>0</v>
      </c>
      <c r="BF203" s="37">
        <f>203</f>
        <v>203</v>
      </c>
      <c r="BH203" s="37">
        <f t="shared" si="309"/>
        <v>0</v>
      </c>
      <c r="BI203" s="37">
        <f t="shared" si="310"/>
        <v>0</v>
      </c>
      <c r="BJ203" s="37">
        <f t="shared" si="311"/>
        <v>0</v>
      </c>
      <c r="BK203" s="37"/>
      <c r="BL203" s="37">
        <v>728</v>
      </c>
      <c r="BW203" s="37">
        <v>21</v>
      </c>
      <c r="BX203" s="3" t="s">
        <v>728</v>
      </c>
    </row>
    <row r="204" spans="1:76" x14ac:dyDescent="0.25">
      <c r="A204" s="1" t="s">
        <v>729</v>
      </c>
      <c r="B204" s="2" t="s">
        <v>730</v>
      </c>
      <c r="C204" s="279" t="s">
        <v>731</v>
      </c>
      <c r="D204" s="280"/>
      <c r="E204" s="2" t="s">
        <v>329</v>
      </c>
      <c r="F204" s="37">
        <v>3</v>
      </c>
      <c r="G204" s="78">
        <v>0</v>
      </c>
      <c r="H204" s="37">
        <f t="shared" si="288"/>
        <v>0</v>
      </c>
      <c r="I204" s="37">
        <f t="shared" si="289"/>
        <v>0</v>
      </c>
      <c r="J204" s="37">
        <f t="shared" si="290"/>
        <v>0</v>
      </c>
      <c r="K204" s="79" t="s">
        <v>334</v>
      </c>
      <c r="Z204" s="37">
        <f t="shared" si="291"/>
        <v>0</v>
      </c>
      <c r="AB204" s="37">
        <f t="shared" si="292"/>
        <v>0</v>
      </c>
      <c r="AC204" s="37">
        <f t="shared" si="293"/>
        <v>0</v>
      </c>
      <c r="AD204" s="37">
        <f t="shared" si="294"/>
        <v>0</v>
      </c>
      <c r="AE204" s="37">
        <f t="shared" si="295"/>
        <v>0</v>
      </c>
      <c r="AF204" s="37">
        <f t="shared" si="296"/>
        <v>0</v>
      </c>
      <c r="AG204" s="37">
        <f t="shared" si="297"/>
        <v>0</v>
      </c>
      <c r="AH204" s="37">
        <f t="shared" si="298"/>
        <v>0</v>
      </c>
      <c r="AI204" s="49" t="s">
        <v>89</v>
      </c>
      <c r="AJ204" s="37">
        <f t="shared" si="299"/>
        <v>0</v>
      </c>
      <c r="AK204" s="37">
        <f t="shared" si="300"/>
        <v>0</v>
      </c>
      <c r="AL204" s="37">
        <f t="shared" si="301"/>
        <v>0</v>
      </c>
      <c r="AN204" s="37">
        <v>21</v>
      </c>
      <c r="AO204" s="37">
        <f t="shared" si="302"/>
        <v>0</v>
      </c>
      <c r="AP204" s="37">
        <f t="shared" si="303"/>
        <v>0</v>
      </c>
      <c r="AQ204" s="72" t="s">
        <v>243</v>
      </c>
      <c r="AV204" s="37">
        <f t="shared" si="304"/>
        <v>0</v>
      </c>
      <c r="AW204" s="37">
        <f t="shared" si="305"/>
        <v>0</v>
      </c>
      <c r="AX204" s="37">
        <f t="shared" si="306"/>
        <v>0</v>
      </c>
      <c r="AY204" s="72" t="s">
        <v>705</v>
      </c>
      <c r="AZ204" s="72" t="s">
        <v>577</v>
      </c>
      <c r="BA204" s="49" t="s">
        <v>226</v>
      </c>
      <c r="BC204" s="37">
        <f t="shared" si="307"/>
        <v>0</v>
      </c>
      <c r="BD204" s="37">
        <f t="shared" si="308"/>
        <v>0</v>
      </c>
      <c r="BE204" s="37">
        <v>0</v>
      </c>
      <c r="BF204" s="37">
        <f>204</f>
        <v>204</v>
      </c>
      <c r="BH204" s="37">
        <f t="shared" si="309"/>
        <v>0</v>
      </c>
      <c r="BI204" s="37">
        <f t="shared" si="310"/>
        <v>0</v>
      </c>
      <c r="BJ204" s="37">
        <f t="shared" si="311"/>
        <v>0</v>
      </c>
      <c r="BK204" s="37"/>
      <c r="BL204" s="37">
        <v>728</v>
      </c>
      <c r="BW204" s="37">
        <v>21</v>
      </c>
      <c r="BX204" s="3" t="s">
        <v>731</v>
      </c>
    </row>
    <row r="205" spans="1:76" x14ac:dyDescent="0.25">
      <c r="A205" s="1" t="s">
        <v>732</v>
      </c>
      <c r="B205" s="2" t="s">
        <v>733</v>
      </c>
      <c r="C205" s="279" t="s">
        <v>734</v>
      </c>
      <c r="D205" s="280"/>
      <c r="E205" s="2" t="s">
        <v>329</v>
      </c>
      <c r="F205" s="37">
        <v>3</v>
      </c>
      <c r="G205" s="78">
        <v>0</v>
      </c>
      <c r="H205" s="37">
        <f t="shared" si="288"/>
        <v>0</v>
      </c>
      <c r="I205" s="37">
        <f t="shared" si="289"/>
        <v>0</v>
      </c>
      <c r="J205" s="37">
        <f t="shared" si="290"/>
        <v>0</v>
      </c>
      <c r="K205" s="79" t="s">
        <v>334</v>
      </c>
      <c r="Z205" s="37">
        <f t="shared" si="291"/>
        <v>0</v>
      </c>
      <c r="AB205" s="37">
        <f t="shared" si="292"/>
        <v>0</v>
      </c>
      <c r="AC205" s="37">
        <f t="shared" si="293"/>
        <v>0</v>
      </c>
      <c r="AD205" s="37">
        <f t="shared" si="294"/>
        <v>0</v>
      </c>
      <c r="AE205" s="37">
        <f t="shared" si="295"/>
        <v>0</v>
      </c>
      <c r="AF205" s="37">
        <f t="shared" si="296"/>
        <v>0</v>
      </c>
      <c r="AG205" s="37">
        <f t="shared" si="297"/>
        <v>0</v>
      </c>
      <c r="AH205" s="37">
        <f t="shared" si="298"/>
        <v>0</v>
      </c>
      <c r="AI205" s="49" t="s">
        <v>89</v>
      </c>
      <c r="AJ205" s="37">
        <f t="shared" si="299"/>
        <v>0</v>
      </c>
      <c r="AK205" s="37">
        <f t="shared" si="300"/>
        <v>0</v>
      </c>
      <c r="AL205" s="37">
        <f t="shared" si="301"/>
        <v>0</v>
      </c>
      <c r="AN205" s="37">
        <v>21</v>
      </c>
      <c r="AO205" s="37">
        <f t="shared" si="302"/>
        <v>0</v>
      </c>
      <c r="AP205" s="37">
        <f t="shared" si="303"/>
        <v>0</v>
      </c>
      <c r="AQ205" s="72" t="s">
        <v>243</v>
      </c>
      <c r="AV205" s="37">
        <f t="shared" si="304"/>
        <v>0</v>
      </c>
      <c r="AW205" s="37">
        <f t="shared" si="305"/>
        <v>0</v>
      </c>
      <c r="AX205" s="37">
        <f t="shared" si="306"/>
        <v>0</v>
      </c>
      <c r="AY205" s="72" t="s">
        <v>705</v>
      </c>
      <c r="AZ205" s="72" t="s">
        <v>577</v>
      </c>
      <c r="BA205" s="49" t="s">
        <v>226</v>
      </c>
      <c r="BC205" s="37">
        <f t="shared" si="307"/>
        <v>0</v>
      </c>
      <c r="BD205" s="37">
        <f t="shared" si="308"/>
        <v>0</v>
      </c>
      <c r="BE205" s="37">
        <v>0</v>
      </c>
      <c r="BF205" s="37">
        <f>205</f>
        <v>205</v>
      </c>
      <c r="BH205" s="37">
        <f t="shared" si="309"/>
        <v>0</v>
      </c>
      <c r="BI205" s="37">
        <f t="shared" si="310"/>
        <v>0</v>
      </c>
      <c r="BJ205" s="37">
        <f t="shared" si="311"/>
        <v>0</v>
      </c>
      <c r="BK205" s="37"/>
      <c r="BL205" s="37">
        <v>728</v>
      </c>
      <c r="BW205" s="37">
        <v>21</v>
      </c>
      <c r="BX205" s="3" t="s">
        <v>734</v>
      </c>
    </row>
    <row r="206" spans="1:76" x14ac:dyDescent="0.25">
      <c r="A206" s="1" t="s">
        <v>735</v>
      </c>
      <c r="B206" s="2" t="s">
        <v>736</v>
      </c>
      <c r="C206" s="279" t="s">
        <v>737</v>
      </c>
      <c r="D206" s="280"/>
      <c r="E206" s="2" t="s">
        <v>329</v>
      </c>
      <c r="F206" s="37">
        <v>4</v>
      </c>
      <c r="G206" s="78">
        <v>0</v>
      </c>
      <c r="H206" s="37">
        <f t="shared" si="288"/>
        <v>0</v>
      </c>
      <c r="I206" s="37">
        <f t="shared" si="289"/>
        <v>0</v>
      </c>
      <c r="J206" s="37">
        <f t="shared" si="290"/>
        <v>0</v>
      </c>
      <c r="K206" s="79" t="s">
        <v>334</v>
      </c>
      <c r="Z206" s="37">
        <f t="shared" si="291"/>
        <v>0</v>
      </c>
      <c r="AB206" s="37">
        <f t="shared" si="292"/>
        <v>0</v>
      </c>
      <c r="AC206" s="37">
        <f t="shared" si="293"/>
        <v>0</v>
      </c>
      <c r="AD206" s="37">
        <f t="shared" si="294"/>
        <v>0</v>
      </c>
      <c r="AE206" s="37">
        <f t="shared" si="295"/>
        <v>0</v>
      </c>
      <c r="AF206" s="37">
        <f t="shared" si="296"/>
        <v>0</v>
      </c>
      <c r="AG206" s="37">
        <f t="shared" si="297"/>
        <v>0</v>
      </c>
      <c r="AH206" s="37">
        <f t="shared" si="298"/>
        <v>0</v>
      </c>
      <c r="AI206" s="49" t="s">
        <v>89</v>
      </c>
      <c r="AJ206" s="37">
        <f t="shared" si="299"/>
        <v>0</v>
      </c>
      <c r="AK206" s="37">
        <f t="shared" si="300"/>
        <v>0</v>
      </c>
      <c r="AL206" s="37">
        <f t="shared" si="301"/>
        <v>0</v>
      </c>
      <c r="AN206" s="37">
        <v>21</v>
      </c>
      <c r="AO206" s="37">
        <f t="shared" si="302"/>
        <v>0</v>
      </c>
      <c r="AP206" s="37">
        <f t="shared" si="303"/>
        <v>0</v>
      </c>
      <c r="AQ206" s="72" t="s">
        <v>243</v>
      </c>
      <c r="AV206" s="37">
        <f t="shared" si="304"/>
        <v>0</v>
      </c>
      <c r="AW206" s="37">
        <f t="shared" si="305"/>
        <v>0</v>
      </c>
      <c r="AX206" s="37">
        <f t="shared" si="306"/>
        <v>0</v>
      </c>
      <c r="AY206" s="72" t="s">
        <v>705</v>
      </c>
      <c r="AZ206" s="72" t="s">
        <v>577</v>
      </c>
      <c r="BA206" s="49" t="s">
        <v>226</v>
      </c>
      <c r="BC206" s="37">
        <f t="shared" si="307"/>
        <v>0</v>
      </c>
      <c r="BD206" s="37">
        <f t="shared" si="308"/>
        <v>0</v>
      </c>
      <c r="BE206" s="37">
        <v>0</v>
      </c>
      <c r="BF206" s="37">
        <f>206</f>
        <v>206</v>
      </c>
      <c r="BH206" s="37">
        <f t="shared" si="309"/>
        <v>0</v>
      </c>
      <c r="BI206" s="37">
        <f t="shared" si="310"/>
        <v>0</v>
      </c>
      <c r="BJ206" s="37">
        <f t="shared" si="311"/>
        <v>0</v>
      </c>
      <c r="BK206" s="37"/>
      <c r="BL206" s="37">
        <v>728</v>
      </c>
      <c r="BW206" s="37">
        <v>21</v>
      </c>
      <c r="BX206" s="3" t="s">
        <v>737</v>
      </c>
    </row>
    <row r="207" spans="1:76" x14ac:dyDescent="0.25">
      <c r="A207" s="1" t="s">
        <v>738</v>
      </c>
      <c r="B207" s="2" t="s">
        <v>739</v>
      </c>
      <c r="C207" s="279" t="s">
        <v>740</v>
      </c>
      <c r="D207" s="280"/>
      <c r="E207" s="2" t="s">
        <v>329</v>
      </c>
      <c r="F207" s="37">
        <v>1</v>
      </c>
      <c r="G207" s="78">
        <v>0</v>
      </c>
      <c r="H207" s="37">
        <f t="shared" si="288"/>
        <v>0</v>
      </c>
      <c r="I207" s="37">
        <f t="shared" si="289"/>
        <v>0</v>
      </c>
      <c r="J207" s="37">
        <f t="shared" si="290"/>
        <v>0</v>
      </c>
      <c r="K207" s="79" t="s">
        <v>334</v>
      </c>
      <c r="Z207" s="37">
        <f t="shared" si="291"/>
        <v>0</v>
      </c>
      <c r="AB207" s="37">
        <f t="shared" si="292"/>
        <v>0</v>
      </c>
      <c r="AC207" s="37">
        <f t="shared" si="293"/>
        <v>0</v>
      </c>
      <c r="AD207" s="37">
        <f t="shared" si="294"/>
        <v>0</v>
      </c>
      <c r="AE207" s="37">
        <f t="shared" si="295"/>
        <v>0</v>
      </c>
      <c r="AF207" s="37">
        <f t="shared" si="296"/>
        <v>0</v>
      </c>
      <c r="AG207" s="37">
        <f t="shared" si="297"/>
        <v>0</v>
      </c>
      <c r="AH207" s="37">
        <f t="shared" si="298"/>
        <v>0</v>
      </c>
      <c r="AI207" s="49" t="s">
        <v>89</v>
      </c>
      <c r="AJ207" s="37">
        <f t="shared" si="299"/>
        <v>0</v>
      </c>
      <c r="AK207" s="37">
        <f t="shared" si="300"/>
        <v>0</v>
      </c>
      <c r="AL207" s="37">
        <f t="shared" si="301"/>
        <v>0</v>
      </c>
      <c r="AN207" s="37">
        <v>21</v>
      </c>
      <c r="AO207" s="37">
        <f t="shared" si="302"/>
        <v>0</v>
      </c>
      <c r="AP207" s="37">
        <f t="shared" si="303"/>
        <v>0</v>
      </c>
      <c r="AQ207" s="72" t="s">
        <v>243</v>
      </c>
      <c r="AV207" s="37">
        <f t="shared" si="304"/>
        <v>0</v>
      </c>
      <c r="AW207" s="37">
        <f t="shared" si="305"/>
        <v>0</v>
      </c>
      <c r="AX207" s="37">
        <f t="shared" si="306"/>
        <v>0</v>
      </c>
      <c r="AY207" s="72" t="s">
        <v>705</v>
      </c>
      <c r="AZ207" s="72" t="s">
        <v>577</v>
      </c>
      <c r="BA207" s="49" t="s">
        <v>226</v>
      </c>
      <c r="BC207" s="37">
        <f t="shared" si="307"/>
        <v>0</v>
      </c>
      <c r="BD207" s="37">
        <f t="shared" si="308"/>
        <v>0</v>
      </c>
      <c r="BE207" s="37">
        <v>0</v>
      </c>
      <c r="BF207" s="37">
        <f>207</f>
        <v>207</v>
      </c>
      <c r="BH207" s="37">
        <f t="shared" si="309"/>
        <v>0</v>
      </c>
      <c r="BI207" s="37">
        <f t="shared" si="310"/>
        <v>0</v>
      </c>
      <c r="BJ207" s="37">
        <f t="shared" si="311"/>
        <v>0</v>
      </c>
      <c r="BK207" s="37"/>
      <c r="BL207" s="37">
        <v>728</v>
      </c>
      <c r="BW207" s="37">
        <v>21</v>
      </c>
      <c r="BX207" s="3" t="s">
        <v>740</v>
      </c>
    </row>
    <row r="208" spans="1:76" x14ac:dyDescent="0.25">
      <c r="A208" s="1" t="s">
        <v>741</v>
      </c>
      <c r="B208" s="2" t="s">
        <v>742</v>
      </c>
      <c r="C208" s="279" t="s">
        <v>743</v>
      </c>
      <c r="D208" s="280"/>
      <c r="E208" s="2" t="s">
        <v>329</v>
      </c>
      <c r="F208" s="37">
        <v>1</v>
      </c>
      <c r="G208" s="78">
        <v>0</v>
      </c>
      <c r="H208" s="37">
        <f t="shared" si="288"/>
        <v>0</v>
      </c>
      <c r="I208" s="37">
        <f t="shared" si="289"/>
        <v>0</v>
      </c>
      <c r="J208" s="37">
        <f t="shared" si="290"/>
        <v>0</v>
      </c>
      <c r="K208" s="79" t="s">
        <v>334</v>
      </c>
      <c r="Z208" s="37">
        <f t="shared" si="291"/>
        <v>0</v>
      </c>
      <c r="AB208" s="37">
        <f t="shared" si="292"/>
        <v>0</v>
      </c>
      <c r="AC208" s="37">
        <f t="shared" si="293"/>
        <v>0</v>
      </c>
      <c r="AD208" s="37">
        <f t="shared" si="294"/>
        <v>0</v>
      </c>
      <c r="AE208" s="37">
        <f t="shared" si="295"/>
        <v>0</v>
      </c>
      <c r="AF208" s="37">
        <f t="shared" si="296"/>
        <v>0</v>
      </c>
      <c r="AG208" s="37">
        <f t="shared" si="297"/>
        <v>0</v>
      </c>
      <c r="AH208" s="37">
        <f t="shared" si="298"/>
        <v>0</v>
      </c>
      <c r="AI208" s="49" t="s">
        <v>89</v>
      </c>
      <c r="AJ208" s="37">
        <f t="shared" si="299"/>
        <v>0</v>
      </c>
      <c r="AK208" s="37">
        <f t="shared" si="300"/>
        <v>0</v>
      </c>
      <c r="AL208" s="37">
        <f t="shared" si="301"/>
        <v>0</v>
      </c>
      <c r="AN208" s="37">
        <v>21</v>
      </c>
      <c r="AO208" s="37">
        <f t="shared" si="302"/>
        <v>0</v>
      </c>
      <c r="AP208" s="37">
        <f t="shared" si="303"/>
        <v>0</v>
      </c>
      <c r="AQ208" s="72" t="s">
        <v>243</v>
      </c>
      <c r="AV208" s="37">
        <f t="shared" si="304"/>
        <v>0</v>
      </c>
      <c r="AW208" s="37">
        <f t="shared" si="305"/>
        <v>0</v>
      </c>
      <c r="AX208" s="37">
        <f t="shared" si="306"/>
        <v>0</v>
      </c>
      <c r="AY208" s="72" t="s">
        <v>705</v>
      </c>
      <c r="AZ208" s="72" t="s">
        <v>577</v>
      </c>
      <c r="BA208" s="49" t="s">
        <v>226</v>
      </c>
      <c r="BC208" s="37">
        <f t="shared" si="307"/>
        <v>0</v>
      </c>
      <c r="BD208" s="37">
        <f t="shared" si="308"/>
        <v>0</v>
      </c>
      <c r="BE208" s="37">
        <v>0</v>
      </c>
      <c r="BF208" s="37">
        <f>208</f>
        <v>208</v>
      </c>
      <c r="BH208" s="37">
        <f t="shared" si="309"/>
        <v>0</v>
      </c>
      <c r="BI208" s="37">
        <f t="shared" si="310"/>
        <v>0</v>
      </c>
      <c r="BJ208" s="37">
        <f t="shared" si="311"/>
        <v>0</v>
      </c>
      <c r="BK208" s="37"/>
      <c r="BL208" s="37">
        <v>728</v>
      </c>
      <c r="BW208" s="37">
        <v>21</v>
      </c>
      <c r="BX208" s="3" t="s">
        <v>743</v>
      </c>
    </row>
    <row r="209" spans="1:76" x14ac:dyDescent="0.25">
      <c r="A209" s="1" t="s">
        <v>744</v>
      </c>
      <c r="B209" s="2" t="s">
        <v>745</v>
      </c>
      <c r="C209" s="279" t="s">
        <v>746</v>
      </c>
      <c r="D209" s="280"/>
      <c r="E209" s="2" t="s">
        <v>329</v>
      </c>
      <c r="F209" s="37">
        <v>2</v>
      </c>
      <c r="G209" s="78">
        <v>0</v>
      </c>
      <c r="H209" s="37">
        <f t="shared" si="288"/>
        <v>0</v>
      </c>
      <c r="I209" s="37">
        <f t="shared" si="289"/>
        <v>0</v>
      </c>
      <c r="J209" s="37">
        <f t="shared" si="290"/>
        <v>0</v>
      </c>
      <c r="K209" s="79" t="s">
        <v>334</v>
      </c>
      <c r="Z209" s="37">
        <f t="shared" si="291"/>
        <v>0</v>
      </c>
      <c r="AB209" s="37">
        <f t="shared" si="292"/>
        <v>0</v>
      </c>
      <c r="AC209" s="37">
        <f t="shared" si="293"/>
        <v>0</v>
      </c>
      <c r="AD209" s="37">
        <f t="shared" si="294"/>
        <v>0</v>
      </c>
      <c r="AE209" s="37">
        <f t="shared" si="295"/>
        <v>0</v>
      </c>
      <c r="AF209" s="37">
        <f t="shared" si="296"/>
        <v>0</v>
      </c>
      <c r="AG209" s="37">
        <f t="shared" si="297"/>
        <v>0</v>
      </c>
      <c r="AH209" s="37">
        <f t="shared" si="298"/>
        <v>0</v>
      </c>
      <c r="AI209" s="49" t="s">
        <v>89</v>
      </c>
      <c r="AJ209" s="37">
        <f t="shared" si="299"/>
        <v>0</v>
      </c>
      <c r="AK209" s="37">
        <f t="shared" si="300"/>
        <v>0</v>
      </c>
      <c r="AL209" s="37">
        <f t="shared" si="301"/>
        <v>0</v>
      </c>
      <c r="AN209" s="37">
        <v>21</v>
      </c>
      <c r="AO209" s="37">
        <f t="shared" si="302"/>
        <v>0</v>
      </c>
      <c r="AP209" s="37">
        <f t="shared" si="303"/>
        <v>0</v>
      </c>
      <c r="AQ209" s="72" t="s">
        <v>243</v>
      </c>
      <c r="AV209" s="37">
        <f t="shared" si="304"/>
        <v>0</v>
      </c>
      <c r="AW209" s="37">
        <f t="shared" si="305"/>
        <v>0</v>
      </c>
      <c r="AX209" s="37">
        <f t="shared" si="306"/>
        <v>0</v>
      </c>
      <c r="AY209" s="72" t="s">
        <v>705</v>
      </c>
      <c r="AZ209" s="72" t="s">
        <v>577</v>
      </c>
      <c r="BA209" s="49" t="s">
        <v>226</v>
      </c>
      <c r="BC209" s="37">
        <f t="shared" si="307"/>
        <v>0</v>
      </c>
      <c r="BD209" s="37">
        <f t="shared" si="308"/>
        <v>0</v>
      </c>
      <c r="BE209" s="37">
        <v>0</v>
      </c>
      <c r="BF209" s="37">
        <f>209</f>
        <v>209</v>
      </c>
      <c r="BH209" s="37">
        <f t="shared" si="309"/>
        <v>0</v>
      </c>
      <c r="BI209" s="37">
        <f t="shared" si="310"/>
        <v>0</v>
      </c>
      <c r="BJ209" s="37">
        <f t="shared" si="311"/>
        <v>0</v>
      </c>
      <c r="BK209" s="37"/>
      <c r="BL209" s="37">
        <v>728</v>
      </c>
      <c r="BW209" s="37">
        <v>21</v>
      </c>
      <c r="BX209" s="3" t="s">
        <v>746</v>
      </c>
    </row>
    <row r="210" spans="1:76" x14ac:dyDescent="0.25">
      <c r="A210" s="1" t="s">
        <v>747</v>
      </c>
      <c r="B210" s="2" t="s">
        <v>748</v>
      </c>
      <c r="C210" s="279" t="s">
        <v>749</v>
      </c>
      <c r="D210" s="280"/>
      <c r="E210" s="2" t="s">
        <v>329</v>
      </c>
      <c r="F210" s="37">
        <v>2</v>
      </c>
      <c r="G210" s="78">
        <v>0</v>
      </c>
      <c r="H210" s="37">
        <f t="shared" si="288"/>
        <v>0</v>
      </c>
      <c r="I210" s="37">
        <f t="shared" si="289"/>
        <v>0</v>
      </c>
      <c r="J210" s="37">
        <f t="shared" si="290"/>
        <v>0</v>
      </c>
      <c r="K210" s="79" t="s">
        <v>334</v>
      </c>
      <c r="Z210" s="37">
        <f t="shared" si="291"/>
        <v>0</v>
      </c>
      <c r="AB210" s="37">
        <f t="shared" si="292"/>
        <v>0</v>
      </c>
      <c r="AC210" s="37">
        <f t="shared" si="293"/>
        <v>0</v>
      </c>
      <c r="AD210" s="37">
        <f t="shared" si="294"/>
        <v>0</v>
      </c>
      <c r="AE210" s="37">
        <f t="shared" si="295"/>
        <v>0</v>
      </c>
      <c r="AF210" s="37">
        <f t="shared" si="296"/>
        <v>0</v>
      </c>
      <c r="AG210" s="37">
        <f t="shared" si="297"/>
        <v>0</v>
      </c>
      <c r="AH210" s="37">
        <f t="shared" si="298"/>
        <v>0</v>
      </c>
      <c r="AI210" s="49" t="s">
        <v>89</v>
      </c>
      <c r="AJ210" s="37">
        <f t="shared" si="299"/>
        <v>0</v>
      </c>
      <c r="AK210" s="37">
        <f t="shared" si="300"/>
        <v>0</v>
      </c>
      <c r="AL210" s="37">
        <f t="shared" si="301"/>
        <v>0</v>
      </c>
      <c r="AN210" s="37">
        <v>21</v>
      </c>
      <c r="AO210" s="37">
        <f t="shared" si="302"/>
        <v>0</v>
      </c>
      <c r="AP210" s="37">
        <f t="shared" si="303"/>
        <v>0</v>
      </c>
      <c r="AQ210" s="72" t="s">
        <v>243</v>
      </c>
      <c r="AV210" s="37">
        <f t="shared" si="304"/>
        <v>0</v>
      </c>
      <c r="AW210" s="37">
        <f t="shared" si="305"/>
        <v>0</v>
      </c>
      <c r="AX210" s="37">
        <f t="shared" si="306"/>
        <v>0</v>
      </c>
      <c r="AY210" s="72" t="s">
        <v>705</v>
      </c>
      <c r="AZ210" s="72" t="s">
        <v>577</v>
      </c>
      <c r="BA210" s="49" t="s">
        <v>226</v>
      </c>
      <c r="BC210" s="37">
        <f t="shared" si="307"/>
        <v>0</v>
      </c>
      <c r="BD210" s="37">
        <f t="shared" si="308"/>
        <v>0</v>
      </c>
      <c r="BE210" s="37">
        <v>0</v>
      </c>
      <c r="BF210" s="37">
        <f>210</f>
        <v>210</v>
      </c>
      <c r="BH210" s="37">
        <f t="shared" si="309"/>
        <v>0</v>
      </c>
      <c r="BI210" s="37">
        <f t="shared" si="310"/>
        <v>0</v>
      </c>
      <c r="BJ210" s="37">
        <f t="shared" si="311"/>
        <v>0</v>
      </c>
      <c r="BK210" s="37"/>
      <c r="BL210" s="37">
        <v>728</v>
      </c>
      <c r="BW210" s="37">
        <v>21</v>
      </c>
      <c r="BX210" s="3" t="s">
        <v>749</v>
      </c>
    </row>
    <row r="211" spans="1:76" x14ac:dyDescent="0.25">
      <c r="A211" s="1" t="s">
        <v>750</v>
      </c>
      <c r="B211" s="2" t="s">
        <v>751</v>
      </c>
      <c r="C211" s="279" t="s">
        <v>752</v>
      </c>
      <c r="D211" s="280"/>
      <c r="E211" s="2" t="s">
        <v>329</v>
      </c>
      <c r="F211" s="37">
        <v>2</v>
      </c>
      <c r="G211" s="78">
        <v>0</v>
      </c>
      <c r="H211" s="37">
        <f t="shared" si="288"/>
        <v>0</v>
      </c>
      <c r="I211" s="37">
        <f t="shared" si="289"/>
        <v>0</v>
      </c>
      <c r="J211" s="37">
        <f t="shared" si="290"/>
        <v>0</v>
      </c>
      <c r="K211" s="79" t="s">
        <v>334</v>
      </c>
      <c r="Z211" s="37">
        <f t="shared" si="291"/>
        <v>0</v>
      </c>
      <c r="AB211" s="37">
        <f t="shared" si="292"/>
        <v>0</v>
      </c>
      <c r="AC211" s="37">
        <f t="shared" si="293"/>
        <v>0</v>
      </c>
      <c r="AD211" s="37">
        <f t="shared" si="294"/>
        <v>0</v>
      </c>
      <c r="AE211" s="37">
        <f t="shared" si="295"/>
        <v>0</v>
      </c>
      <c r="AF211" s="37">
        <f t="shared" si="296"/>
        <v>0</v>
      </c>
      <c r="AG211" s="37">
        <f t="shared" si="297"/>
        <v>0</v>
      </c>
      <c r="AH211" s="37">
        <f t="shared" si="298"/>
        <v>0</v>
      </c>
      <c r="AI211" s="49" t="s">
        <v>89</v>
      </c>
      <c r="AJ211" s="37">
        <f t="shared" si="299"/>
        <v>0</v>
      </c>
      <c r="AK211" s="37">
        <f t="shared" si="300"/>
        <v>0</v>
      </c>
      <c r="AL211" s="37">
        <f t="shared" si="301"/>
        <v>0</v>
      </c>
      <c r="AN211" s="37">
        <v>21</v>
      </c>
      <c r="AO211" s="37">
        <f t="shared" si="302"/>
        <v>0</v>
      </c>
      <c r="AP211" s="37">
        <f t="shared" si="303"/>
        <v>0</v>
      </c>
      <c r="AQ211" s="72" t="s">
        <v>243</v>
      </c>
      <c r="AV211" s="37">
        <f t="shared" si="304"/>
        <v>0</v>
      </c>
      <c r="AW211" s="37">
        <f t="shared" si="305"/>
        <v>0</v>
      </c>
      <c r="AX211" s="37">
        <f t="shared" si="306"/>
        <v>0</v>
      </c>
      <c r="AY211" s="72" t="s">
        <v>705</v>
      </c>
      <c r="AZ211" s="72" t="s">
        <v>577</v>
      </c>
      <c r="BA211" s="49" t="s">
        <v>226</v>
      </c>
      <c r="BC211" s="37">
        <f t="shared" si="307"/>
        <v>0</v>
      </c>
      <c r="BD211" s="37">
        <f t="shared" si="308"/>
        <v>0</v>
      </c>
      <c r="BE211" s="37">
        <v>0</v>
      </c>
      <c r="BF211" s="37">
        <f>211</f>
        <v>211</v>
      </c>
      <c r="BH211" s="37">
        <f t="shared" si="309"/>
        <v>0</v>
      </c>
      <c r="BI211" s="37">
        <f t="shared" si="310"/>
        <v>0</v>
      </c>
      <c r="BJ211" s="37">
        <f t="shared" si="311"/>
        <v>0</v>
      </c>
      <c r="BK211" s="37"/>
      <c r="BL211" s="37">
        <v>728</v>
      </c>
      <c r="BW211" s="37">
        <v>21</v>
      </c>
      <c r="BX211" s="3" t="s">
        <v>752</v>
      </c>
    </row>
    <row r="212" spans="1:76" x14ac:dyDescent="0.25">
      <c r="A212" s="1" t="s">
        <v>753</v>
      </c>
      <c r="B212" s="2" t="s">
        <v>754</v>
      </c>
      <c r="C212" s="279" t="s">
        <v>755</v>
      </c>
      <c r="D212" s="280"/>
      <c r="E212" s="2" t="s">
        <v>329</v>
      </c>
      <c r="F212" s="37">
        <v>2</v>
      </c>
      <c r="G212" s="78">
        <v>0</v>
      </c>
      <c r="H212" s="37">
        <f t="shared" si="288"/>
        <v>0</v>
      </c>
      <c r="I212" s="37">
        <f t="shared" si="289"/>
        <v>0</v>
      </c>
      <c r="J212" s="37">
        <f t="shared" si="290"/>
        <v>0</v>
      </c>
      <c r="K212" s="79" t="s">
        <v>334</v>
      </c>
      <c r="Z212" s="37">
        <f t="shared" si="291"/>
        <v>0</v>
      </c>
      <c r="AB212" s="37">
        <f t="shared" si="292"/>
        <v>0</v>
      </c>
      <c r="AC212" s="37">
        <f t="shared" si="293"/>
        <v>0</v>
      </c>
      <c r="AD212" s="37">
        <f t="shared" si="294"/>
        <v>0</v>
      </c>
      <c r="AE212" s="37">
        <f t="shared" si="295"/>
        <v>0</v>
      </c>
      <c r="AF212" s="37">
        <f t="shared" si="296"/>
        <v>0</v>
      </c>
      <c r="AG212" s="37">
        <f t="shared" si="297"/>
        <v>0</v>
      </c>
      <c r="AH212" s="37">
        <f t="shared" si="298"/>
        <v>0</v>
      </c>
      <c r="AI212" s="49" t="s">
        <v>89</v>
      </c>
      <c r="AJ212" s="37">
        <f t="shared" si="299"/>
        <v>0</v>
      </c>
      <c r="AK212" s="37">
        <f t="shared" si="300"/>
        <v>0</v>
      </c>
      <c r="AL212" s="37">
        <f t="shared" si="301"/>
        <v>0</v>
      </c>
      <c r="AN212" s="37">
        <v>21</v>
      </c>
      <c r="AO212" s="37">
        <f t="shared" si="302"/>
        <v>0</v>
      </c>
      <c r="AP212" s="37">
        <f t="shared" si="303"/>
        <v>0</v>
      </c>
      <c r="AQ212" s="72" t="s">
        <v>243</v>
      </c>
      <c r="AV212" s="37">
        <f t="shared" si="304"/>
        <v>0</v>
      </c>
      <c r="AW212" s="37">
        <f t="shared" si="305"/>
        <v>0</v>
      </c>
      <c r="AX212" s="37">
        <f t="shared" si="306"/>
        <v>0</v>
      </c>
      <c r="AY212" s="72" t="s">
        <v>705</v>
      </c>
      <c r="AZ212" s="72" t="s">
        <v>577</v>
      </c>
      <c r="BA212" s="49" t="s">
        <v>226</v>
      </c>
      <c r="BC212" s="37">
        <f t="shared" si="307"/>
        <v>0</v>
      </c>
      <c r="BD212" s="37">
        <f t="shared" si="308"/>
        <v>0</v>
      </c>
      <c r="BE212" s="37">
        <v>0</v>
      </c>
      <c r="BF212" s="37">
        <f>212</f>
        <v>212</v>
      </c>
      <c r="BH212" s="37">
        <f t="shared" si="309"/>
        <v>0</v>
      </c>
      <c r="BI212" s="37">
        <f t="shared" si="310"/>
        <v>0</v>
      </c>
      <c r="BJ212" s="37">
        <f t="shared" si="311"/>
        <v>0</v>
      </c>
      <c r="BK212" s="37"/>
      <c r="BL212" s="37">
        <v>728</v>
      </c>
      <c r="BW212" s="37">
        <v>21</v>
      </c>
      <c r="BX212" s="3" t="s">
        <v>755</v>
      </c>
    </row>
    <row r="213" spans="1:76" x14ac:dyDescent="0.25">
      <c r="A213" s="1" t="s">
        <v>756</v>
      </c>
      <c r="B213" s="2" t="s">
        <v>757</v>
      </c>
      <c r="C213" s="279" t="s">
        <v>758</v>
      </c>
      <c r="D213" s="280"/>
      <c r="E213" s="2" t="s">
        <v>333</v>
      </c>
      <c r="F213" s="37">
        <v>1</v>
      </c>
      <c r="G213" s="78">
        <v>0</v>
      </c>
      <c r="H213" s="37">
        <f t="shared" si="288"/>
        <v>0</v>
      </c>
      <c r="I213" s="37">
        <f t="shared" si="289"/>
        <v>0</v>
      </c>
      <c r="J213" s="37">
        <f t="shared" si="290"/>
        <v>0</v>
      </c>
      <c r="K213" s="79" t="s">
        <v>334</v>
      </c>
      <c r="Z213" s="37">
        <f t="shared" si="291"/>
        <v>0</v>
      </c>
      <c r="AB213" s="37">
        <f t="shared" si="292"/>
        <v>0</v>
      </c>
      <c r="AC213" s="37">
        <f t="shared" si="293"/>
        <v>0</v>
      </c>
      <c r="AD213" s="37">
        <f t="shared" si="294"/>
        <v>0</v>
      </c>
      <c r="AE213" s="37">
        <f t="shared" si="295"/>
        <v>0</v>
      </c>
      <c r="AF213" s="37">
        <f t="shared" si="296"/>
        <v>0</v>
      </c>
      <c r="AG213" s="37">
        <f t="shared" si="297"/>
        <v>0</v>
      </c>
      <c r="AH213" s="37">
        <f t="shared" si="298"/>
        <v>0</v>
      </c>
      <c r="AI213" s="49" t="s">
        <v>89</v>
      </c>
      <c r="AJ213" s="37">
        <f t="shared" si="299"/>
        <v>0</v>
      </c>
      <c r="AK213" s="37">
        <f t="shared" si="300"/>
        <v>0</v>
      </c>
      <c r="AL213" s="37">
        <f t="shared" si="301"/>
        <v>0</v>
      </c>
      <c r="AN213" s="37">
        <v>21</v>
      </c>
      <c r="AO213" s="37">
        <f t="shared" si="302"/>
        <v>0</v>
      </c>
      <c r="AP213" s="37">
        <f t="shared" si="303"/>
        <v>0</v>
      </c>
      <c r="AQ213" s="72" t="s">
        <v>243</v>
      </c>
      <c r="AV213" s="37">
        <f t="shared" si="304"/>
        <v>0</v>
      </c>
      <c r="AW213" s="37">
        <f t="shared" si="305"/>
        <v>0</v>
      </c>
      <c r="AX213" s="37">
        <f t="shared" si="306"/>
        <v>0</v>
      </c>
      <c r="AY213" s="72" t="s">
        <v>705</v>
      </c>
      <c r="AZ213" s="72" t="s">
        <v>577</v>
      </c>
      <c r="BA213" s="49" t="s">
        <v>226</v>
      </c>
      <c r="BC213" s="37">
        <f t="shared" si="307"/>
        <v>0</v>
      </c>
      <c r="BD213" s="37">
        <f t="shared" si="308"/>
        <v>0</v>
      </c>
      <c r="BE213" s="37">
        <v>0</v>
      </c>
      <c r="BF213" s="37">
        <f>213</f>
        <v>213</v>
      </c>
      <c r="BH213" s="37">
        <f t="shared" si="309"/>
        <v>0</v>
      </c>
      <c r="BI213" s="37">
        <f t="shared" si="310"/>
        <v>0</v>
      </c>
      <c r="BJ213" s="37">
        <f t="shared" si="311"/>
        <v>0</v>
      </c>
      <c r="BK213" s="37"/>
      <c r="BL213" s="37">
        <v>728</v>
      </c>
      <c r="BW213" s="37">
        <v>21</v>
      </c>
      <c r="BX213" s="3" t="s">
        <v>758</v>
      </c>
    </row>
    <row r="214" spans="1:76" x14ac:dyDescent="0.25">
      <c r="A214" s="1" t="s">
        <v>759</v>
      </c>
      <c r="B214" s="2" t="s">
        <v>760</v>
      </c>
      <c r="C214" s="279" t="s">
        <v>761</v>
      </c>
      <c r="D214" s="280"/>
      <c r="E214" s="2" t="s">
        <v>333</v>
      </c>
      <c r="F214" s="37">
        <v>9</v>
      </c>
      <c r="G214" s="78">
        <v>0</v>
      </c>
      <c r="H214" s="37">
        <f t="shared" si="288"/>
        <v>0</v>
      </c>
      <c r="I214" s="37">
        <f t="shared" si="289"/>
        <v>0</v>
      </c>
      <c r="J214" s="37">
        <f t="shared" si="290"/>
        <v>0</v>
      </c>
      <c r="K214" s="79" t="s">
        <v>334</v>
      </c>
      <c r="Z214" s="37">
        <f t="shared" si="291"/>
        <v>0</v>
      </c>
      <c r="AB214" s="37">
        <f t="shared" si="292"/>
        <v>0</v>
      </c>
      <c r="AC214" s="37">
        <f t="shared" si="293"/>
        <v>0</v>
      </c>
      <c r="AD214" s="37">
        <f t="shared" si="294"/>
        <v>0</v>
      </c>
      <c r="AE214" s="37">
        <f t="shared" si="295"/>
        <v>0</v>
      </c>
      <c r="AF214" s="37">
        <f t="shared" si="296"/>
        <v>0</v>
      </c>
      <c r="AG214" s="37">
        <f t="shared" si="297"/>
        <v>0</v>
      </c>
      <c r="AH214" s="37">
        <f t="shared" si="298"/>
        <v>0</v>
      </c>
      <c r="AI214" s="49" t="s">
        <v>89</v>
      </c>
      <c r="AJ214" s="37">
        <f t="shared" si="299"/>
        <v>0</v>
      </c>
      <c r="AK214" s="37">
        <f t="shared" si="300"/>
        <v>0</v>
      </c>
      <c r="AL214" s="37">
        <f t="shared" si="301"/>
        <v>0</v>
      </c>
      <c r="AN214" s="37">
        <v>21</v>
      </c>
      <c r="AO214" s="37">
        <f t="shared" ref="AO214:AO220" si="312">G214*1</f>
        <v>0</v>
      </c>
      <c r="AP214" s="37">
        <f t="shared" ref="AP214:AP220" si="313">G214*(1-1)</f>
        <v>0</v>
      </c>
      <c r="AQ214" s="72" t="s">
        <v>243</v>
      </c>
      <c r="AV214" s="37">
        <f t="shared" si="304"/>
        <v>0</v>
      </c>
      <c r="AW214" s="37">
        <f t="shared" si="305"/>
        <v>0</v>
      </c>
      <c r="AX214" s="37">
        <f t="shared" si="306"/>
        <v>0</v>
      </c>
      <c r="AY214" s="72" t="s">
        <v>705</v>
      </c>
      <c r="AZ214" s="72" t="s">
        <v>577</v>
      </c>
      <c r="BA214" s="49" t="s">
        <v>226</v>
      </c>
      <c r="BC214" s="37">
        <f t="shared" si="307"/>
        <v>0</v>
      </c>
      <c r="BD214" s="37">
        <f t="shared" si="308"/>
        <v>0</v>
      </c>
      <c r="BE214" s="37">
        <v>0</v>
      </c>
      <c r="BF214" s="37">
        <f>214</f>
        <v>214</v>
      </c>
      <c r="BH214" s="37">
        <f t="shared" si="309"/>
        <v>0</v>
      </c>
      <c r="BI214" s="37">
        <f t="shared" si="310"/>
        <v>0</v>
      </c>
      <c r="BJ214" s="37">
        <f t="shared" si="311"/>
        <v>0</v>
      </c>
      <c r="BK214" s="37"/>
      <c r="BL214" s="37">
        <v>728</v>
      </c>
      <c r="BW214" s="37">
        <v>21</v>
      </c>
      <c r="BX214" s="3" t="s">
        <v>761</v>
      </c>
    </row>
    <row r="215" spans="1:76" x14ac:dyDescent="0.25">
      <c r="A215" s="1" t="s">
        <v>762</v>
      </c>
      <c r="B215" s="2" t="s">
        <v>763</v>
      </c>
      <c r="C215" s="279" t="s">
        <v>764</v>
      </c>
      <c r="D215" s="280"/>
      <c r="E215" s="2" t="s">
        <v>333</v>
      </c>
      <c r="F215" s="37">
        <v>50</v>
      </c>
      <c r="G215" s="78">
        <v>0</v>
      </c>
      <c r="H215" s="37">
        <f t="shared" si="288"/>
        <v>0</v>
      </c>
      <c r="I215" s="37">
        <f t="shared" si="289"/>
        <v>0</v>
      </c>
      <c r="J215" s="37">
        <f t="shared" si="290"/>
        <v>0</v>
      </c>
      <c r="K215" s="79" t="s">
        <v>334</v>
      </c>
      <c r="Z215" s="37">
        <f t="shared" si="291"/>
        <v>0</v>
      </c>
      <c r="AB215" s="37">
        <f t="shared" si="292"/>
        <v>0</v>
      </c>
      <c r="AC215" s="37">
        <f t="shared" si="293"/>
        <v>0</v>
      </c>
      <c r="AD215" s="37">
        <f t="shared" si="294"/>
        <v>0</v>
      </c>
      <c r="AE215" s="37">
        <f t="shared" si="295"/>
        <v>0</v>
      </c>
      <c r="AF215" s="37">
        <f t="shared" si="296"/>
        <v>0</v>
      </c>
      <c r="AG215" s="37">
        <f t="shared" si="297"/>
        <v>0</v>
      </c>
      <c r="AH215" s="37">
        <f t="shared" si="298"/>
        <v>0</v>
      </c>
      <c r="AI215" s="49" t="s">
        <v>89</v>
      </c>
      <c r="AJ215" s="37">
        <f t="shared" si="299"/>
        <v>0</v>
      </c>
      <c r="AK215" s="37">
        <f t="shared" si="300"/>
        <v>0</v>
      </c>
      <c r="AL215" s="37">
        <f t="shared" si="301"/>
        <v>0</v>
      </c>
      <c r="AN215" s="37">
        <v>21</v>
      </c>
      <c r="AO215" s="37">
        <f t="shared" si="312"/>
        <v>0</v>
      </c>
      <c r="AP215" s="37">
        <f t="shared" si="313"/>
        <v>0</v>
      </c>
      <c r="AQ215" s="72" t="s">
        <v>243</v>
      </c>
      <c r="AV215" s="37">
        <f t="shared" si="304"/>
        <v>0</v>
      </c>
      <c r="AW215" s="37">
        <f t="shared" si="305"/>
        <v>0</v>
      </c>
      <c r="AX215" s="37">
        <f t="shared" si="306"/>
        <v>0</v>
      </c>
      <c r="AY215" s="72" t="s">
        <v>705</v>
      </c>
      <c r="AZ215" s="72" t="s">
        <v>577</v>
      </c>
      <c r="BA215" s="49" t="s">
        <v>226</v>
      </c>
      <c r="BC215" s="37">
        <f t="shared" si="307"/>
        <v>0</v>
      </c>
      <c r="BD215" s="37">
        <f t="shared" si="308"/>
        <v>0</v>
      </c>
      <c r="BE215" s="37">
        <v>0</v>
      </c>
      <c r="BF215" s="37">
        <f>215</f>
        <v>215</v>
      </c>
      <c r="BH215" s="37">
        <f t="shared" si="309"/>
        <v>0</v>
      </c>
      <c r="BI215" s="37">
        <f t="shared" si="310"/>
        <v>0</v>
      </c>
      <c r="BJ215" s="37">
        <f t="shared" si="311"/>
        <v>0</v>
      </c>
      <c r="BK215" s="37"/>
      <c r="BL215" s="37">
        <v>728</v>
      </c>
      <c r="BW215" s="37">
        <v>21</v>
      </c>
      <c r="BX215" s="3" t="s">
        <v>764</v>
      </c>
    </row>
    <row r="216" spans="1:76" x14ac:dyDescent="0.25">
      <c r="A216" s="1" t="s">
        <v>765</v>
      </c>
      <c r="B216" s="2" t="s">
        <v>766</v>
      </c>
      <c r="C216" s="279" t="s">
        <v>767</v>
      </c>
      <c r="D216" s="280"/>
      <c r="E216" s="2" t="s">
        <v>333</v>
      </c>
      <c r="F216" s="37">
        <v>7</v>
      </c>
      <c r="G216" s="78">
        <v>0</v>
      </c>
      <c r="H216" s="37">
        <f t="shared" si="288"/>
        <v>0</v>
      </c>
      <c r="I216" s="37">
        <f t="shared" si="289"/>
        <v>0</v>
      </c>
      <c r="J216" s="37">
        <f t="shared" si="290"/>
        <v>0</v>
      </c>
      <c r="K216" s="79" t="s">
        <v>713</v>
      </c>
      <c r="Z216" s="37">
        <f t="shared" si="291"/>
        <v>0</v>
      </c>
      <c r="AB216" s="37">
        <f t="shared" si="292"/>
        <v>0</v>
      </c>
      <c r="AC216" s="37">
        <f t="shared" si="293"/>
        <v>0</v>
      </c>
      <c r="AD216" s="37">
        <f t="shared" si="294"/>
        <v>0</v>
      </c>
      <c r="AE216" s="37">
        <f t="shared" si="295"/>
        <v>0</v>
      </c>
      <c r="AF216" s="37">
        <f t="shared" si="296"/>
        <v>0</v>
      </c>
      <c r="AG216" s="37">
        <f t="shared" si="297"/>
        <v>0</v>
      </c>
      <c r="AH216" s="37">
        <f t="shared" si="298"/>
        <v>0</v>
      </c>
      <c r="AI216" s="49" t="s">
        <v>89</v>
      </c>
      <c r="AJ216" s="37">
        <f t="shared" si="299"/>
        <v>0</v>
      </c>
      <c r="AK216" s="37">
        <f t="shared" si="300"/>
        <v>0</v>
      </c>
      <c r="AL216" s="37">
        <f t="shared" si="301"/>
        <v>0</v>
      </c>
      <c r="AN216" s="37">
        <v>21</v>
      </c>
      <c r="AO216" s="37">
        <f t="shared" si="312"/>
        <v>0</v>
      </c>
      <c r="AP216" s="37">
        <f t="shared" si="313"/>
        <v>0</v>
      </c>
      <c r="AQ216" s="72" t="s">
        <v>243</v>
      </c>
      <c r="AV216" s="37">
        <f t="shared" si="304"/>
        <v>0</v>
      </c>
      <c r="AW216" s="37">
        <f t="shared" si="305"/>
        <v>0</v>
      </c>
      <c r="AX216" s="37">
        <f t="shared" si="306"/>
        <v>0</v>
      </c>
      <c r="AY216" s="72" t="s">
        <v>705</v>
      </c>
      <c r="AZ216" s="72" t="s">
        <v>577</v>
      </c>
      <c r="BA216" s="49" t="s">
        <v>226</v>
      </c>
      <c r="BC216" s="37">
        <f t="shared" si="307"/>
        <v>0</v>
      </c>
      <c r="BD216" s="37">
        <f t="shared" si="308"/>
        <v>0</v>
      </c>
      <c r="BE216" s="37">
        <v>0</v>
      </c>
      <c r="BF216" s="37">
        <f>216</f>
        <v>216</v>
      </c>
      <c r="BH216" s="37">
        <f t="shared" si="309"/>
        <v>0</v>
      </c>
      <c r="BI216" s="37">
        <f t="shared" si="310"/>
        <v>0</v>
      </c>
      <c r="BJ216" s="37">
        <f t="shared" si="311"/>
        <v>0</v>
      </c>
      <c r="BK216" s="37"/>
      <c r="BL216" s="37">
        <v>728</v>
      </c>
      <c r="BW216" s="37">
        <v>21</v>
      </c>
      <c r="BX216" s="3" t="s">
        <v>767</v>
      </c>
    </row>
    <row r="217" spans="1:76" x14ac:dyDescent="0.25">
      <c r="A217" s="1" t="s">
        <v>768</v>
      </c>
      <c r="B217" s="2" t="s">
        <v>769</v>
      </c>
      <c r="C217" s="279" t="s">
        <v>770</v>
      </c>
      <c r="D217" s="280"/>
      <c r="E217" s="2" t="s">
        <v>333</v>
      </c>
      <c r="F217" s="37">
        <v>6</v>
      </c>
      <c r="G217" s="78">
        <v>0</v>
      </c>
      <c r="H217" s="37">
        <f t="shared" si="288"/>
        <v>0</v>
      </c>
      <c r="I217" s="37">
        <f t="shared" si="289"/>
        <v>0</v>
      </c>
      <c r="J217" s="37">
        <f t="shared" si="290"/>
        <v>0</v>
      </c>
      <c r="K217" s="79" t="s">
        <v>713</v>
      </c>
      <c r="Z217" s="37">
        <f t="shared" si="291"/>
        <v>0</v>
      </c>
      <c r="AB217" s="37">
        <f t="shared" si="292"/>
        <v>0</v>
      </c>
      <c r="AC217" s="37">
        <f t="shared" si="293"/>
        <v>0</v>
      </c>
      <c r="AD217" s="37">
        <f t="shared" si="294"/>
        <v>0</v>
      </c>
      <c r="AE217" s="37">
        <f t="shared" si="295"/>
        <v>0</v>
      </c>
      <c r="AF217" s="37">
        <f t="shared" si="296"/>
        <v>0</v>
      </c>
      <c r="AG217" s="37">
        <f t="shared" si="297"/>
        <v>0</v>
      </c>
      <c r="AH217" s="37">
        <f t="shared" si="298"/>
        <v>0</v>
      </c>
      <c r="AI217" s="49" t="s">
        <v>89</v>
      </c>
      <c r="AJ217" s="37">
        <f t="shared" si="299"/>
        <v>0</v>
      </c>
      <c r="AK217" s="37">
        <f t="shared" si="300"/>
        <v>0</v>
      </c>
      <c r="AL217" s="37">
        <f t="shared" si="301"/>
        <v>0</v>
      </c>
      <c r="AN217" s="37">
        <v>21</v>
      </c>
      <c r="AO217" s="37">
        <f t="shared" si="312"/>
        <v>0</v>
      </c>
      <c r="AP217" s="37">
        <f t="shared" si="313"/>
        <v>0</v>
      </c>
      <c r="AQ217" s="72" t="s">
        <v>243</v>
      </c>
      <c r="AV217" s="37">
        <f t="shared" si="304"/>
        <v>0</v>
      </c>
      <c r="AW217" s="37">
        <f t="shared" si="305"/>
        <v>0</v>
      </c>
      <c r="AX217" s="37">
        <f t="shared" si="306"/>
        <v>0</v>
      </c>
      <c r="AY217" s="72" t="s">
        <v>705</v>
      </c>
      <c r="AZ217" s="72" t="s">
        <v>577</v>
      </c>
      <c r="BA217" s="49" t="s">
        <v>226</v>
      </c>
      <c r="BC217" s="37">
        <f t="shared" si="307"/>
        <v>0</v>
      </c>
      <c r="BD217" s="37">
        <f t="shared" si="308"/>
        <v>0</v>
      </c>
      <c r="BE217" s="37">
        <v>0</v>
      </c>
      <c r="BF217" s="37">
        <f>217</f>
        <v>217</v>
      </c>
      <c r="BH217" s="37">
        <f t="shared" si="309"/>
        <v>0</v>
      </c>
      <c r="BI217" s="37">
        <f t="shared" si="310"/>
        <v>0</v>
      </c>
      <c r="BJ217" s="37">
        <f t="shared" si="311"/>
        <v>0</v>
      </c>
      <c r="BK217" s="37"/>
      <c r="BL217" s="37">
        <v>728</v>
      </c>
      <c r="BW217" s="37">
        <v>21</v>
      </c>
      <c r="BX217" s="3" t="s">
        <v>770</v>
      </c>
    </row>
    <row r="218" spans="1:76" x14ac:dyDescent="0.25">
      <c r="A218" s="1" t="s">
        <v>771</v>
      </c>
      <c r="B218" s="2" t="s">
        <v>772</v>
      </c>
      <c r="C218" s="279" t="s">
        <v>773</v>
      </c>
      <c r="D218" s="280"/>
      <c r="E218" s="2" t="s">
        <v>333</v>
      </c>
      <c r="F218" s="37">
        <v>3</v>
      </c>
      <c r="G218" s="78">
        <v>0</v>
      </c>
      <c r="H218" s="37">
        <f t="shared" si="288"/>
        <v>0</v>
      </c>
      <c r="I218" s="37">
        <f t="shared" si="289"/>
        <v>0</v>
      </c>
      <c r="J218" s="37">
        <f t="shared" si="290"/>
        <v>0</v>
      </c>
      <c r="K218" s="79" t="s">
        <v>713</v>
      </c>
      <c r="Z218" s="37">
        <f t="shared" si="291"/>
        <v>0</v>
      </c>
      <c r="AB218" s="37">
        <f t="shared" si="292"/>
        <v>0</v>
      </c>
      <c r="AC218" s="37">
        <f t="shared" si="293"/>
        <v>0</v>
      </c>
      <c r="AD218" s="37">
        <f t="shared" si="294"/>
        <v>0</v>
      </c>
      <c r="AE218" s="37">
        <f t="shared" si="295"/>
        <v>0</v>
      </c>
      <c r="AF218" s="37">
        <f t="shared" si="296"/>
        <v>0</v>
      </c>
      <c r="AG218" s="37">
        <f t="shared" si="297"/>
        <v>0</v>
      </c>
      <c r="AH218" s="37">
        <f t="shared" si="298"/>
        <v>0</v>
      </c>
      <c r="AI218" s="49" t="s">
        <v>89</v>
      </c>
      <c r="AJ218" s="37">
        <f t="shared" si="299"/>
        <v>0</v>
      </c>
      <c r="AK218" s="37">
        <f t="shared" si="300"/>
        <v>0</v>
      </c>
      <c r="AL218" s="37">
        <f t="shared" si="301"/>
        <v>0</v>
      </c>
      <c r="AN218" s="37">
        <v>21</v>
      </c>
      <c r="AO218" s="37">
        <f t="shared" si="312"/>
        <v>0</v>
      </c>
      <c r="AP218" s="37">
        <f t="shared" si="313"/>
        <v>0</v>
      </c>
      <c r="AQ218" s="72" t="s">
        <v>243</v>
      </c>
      <c r="AV218" s="37">
        <f t="shared" si="304"/>
        <v>0</v>
      </c>
      <c r="AW218" s="37">
        <f t="shared" si="305"/>
        <v>0</v>
      </c>
      <c r="AX218" s="37">
        <f t="shared" si="306"/>
        <v>0</v>
      </c>
      <c r="AY218" s="72" t="s">
        <v>705</v>
      </c>
      <c r="AZ218" s="72" t="s">
        <v>577</v>
      </c>
      <c r="BA218" s="49" t="s">
        <v>226</v>
      </c>
      <c r="BC218" s="37">
        <f t="shared" si="307"/>
        <v>0</v>
      </c>
      <c r="BD218" s="37">
        <f t="shared" si="308"/>
        <v>0</v>
      </c>
      <c r="BE218" s="37">
        <v>0</v>
      </c>
      <c r="BF218" s="37">
        <f>218</f>
        <v>218</v>
      </c>
      <c r="BH218" s="37">
        <f t="shared" si="309"/>
        <v>0</v>
      </c>
      <c r="BI218" s="37">
        <f t="shared" si="310"/>
        <v>0</v>
      </c>
      <c r="BJ218" s="37">
        <f t="shared" si="311"/>
        <v>0</v>
      </c>
      <c r="BK218" s="37"/>
      <c r="BL218" s="37">
        <v>728</v>
      </c>
      <c r="BW218" s="37">
        <v>21</v>
      </c>
      <c r="BX218" s="3" t="s">
        <v>773</v>
      </c>
    </row>
    <row r="219" spans="1:76" x14ac:dyDescent="0.25">
      <c r="A219" s="1" t="s">
        <v>774</v>
      </c>
      <c r="B219" s="2" t="s">
        <v>775</v>
      </c>
      <c r="C219" s="279" t="s">
        <v>776</v>
      </c>
      <c r="D219" s="280"/>
      <c r="E219" s="2" t="s">
        <v>249</v>
      </c>
      <c r="F219" s="37">
        <v>50</v>
      </c>
      <c r="G219" s="78">
        <v>0</v>
      </c>
      <c r="H219" s="37">
        <f t="shared" si="288"/>
        <v>0</v>
      </c>
      <c r="I219" s="37">
        <f t="shared" si="289"/>
        <v>0</v>
      </c>
      <c r="J219" s="37">
        <f t="shared" si="290"/>
        <v>0</v>
      </c>
      <c r="K219" s="79" t="s">
        <v>334</v>
      </c>
      <c r="Z219" s="37">
        <f t="shared" si="291"/>
        <v>0</v>
      </c>
      <c r="AB219" s="37">
        <f t="shared" si="292"/>
        <v>0</v>
      </c>
      <c r="AC219" s="37">
        <f t="shared" si="293"/>
        <v>0</v>
      </c>
      <c r="AD219" s="37">
        <f t="shared" si="294"/>
        <v>0</v>
      </c>
      <c r="AE219" s="37">
        <f t="shared" si="295"/>
        <v>0</v>
      </c>
      <c r="AF219" s="37">
        <f t="shared" si="296"/>
        <v>0</v>
      </c>
      <c r="AG219" s="37">
        <f t="shared" si="297"/>
        <v>0</v>
      </c>
      <c r="AH219" s="37">
        <f t="shared" si="298"/>
        <v>0</v>
      </c>
      <c r="AI219" s="49" t="s">
        <v>89</v>
      </c>
      <c r="AJ219" s="37">
        <f t="shared" si="299"/>
        <v>0</v>
      </c>
      <c r="AK219" s="37">
        <f t="shared" si="300"/>
        <v>0</v>
      </c>
      <c r="AL219" s="37">
        <f t="shared" si="301"/>
        <v>0</v>
      </c>
      <c r="AN219" s="37">
        <v>21</v>
      </c>
      <c r="AO219" s="37">
        <f t="shared" si="312"/>
        <v>0</v>
      </c>
      <c r="AP219" s="37">
        <f t="shared" si="313"/>
        <v>0</v>
      </c>
      <c r="AQ219" s="72" t="s">
        <v>243</v>
      </c>
      <c r="AV219" s="37">
        <f t="shared" si="304"/>
        <v>0</v>
      </c>
      <c r="AW219" s="37">
        <f t="shared" si="305"/>
        <v>0</v>
      </c>
      <c r="AX219" s="37">
        <f t="shared" si="306"/>
        <v>0</v>
      </c>
      <c r="AY219" s="72" t="s">
        <v>705</v>
      </c>
      <c r="AZ219" s="72" t="s">
        <v>577</v>
      </c>
      <c r="BA219" s="49" t="s">
        <v>226</v>
      </c>
      <c r="BC219" s="37">
        <f t="shared" si="307"/>
        <v>0</v>
      </c>
      <c r="BD219" s="37">
        <f t="shared" si="308"/>
        <v>0</v>
      </c>
      <c r="BE219" s="37">
        <v>0</v>
      </c>
      <c r="BF219" s="37">
        <f>219</f>
        <v>219</v>
      </c>
      <c r="BH219" s="37">
        <f t="shared" si="309"/>
        <v>0</v>
      </c>
      <c r="BI219" s="37">
        <f t="shared" si="310"/>
        <v>0</v>
      </c>
      <c r="BJ219" s="37">
        <f t="shared" si="311"/>
        <v>0</v>
      </c>
      <c r="BK219" s="37"/>
      <c r="BL219" s="37">
        <v>728</v>
      </c>
      <c r="BW219" s="37">
        <v>21</v>
      </c>
      <c r="BX219" s="3" t="s">
        <v>776</v>
      </c>
    </row>
    <row r="220" spans="1:76" x14ac:dyDescent="0.25">
      <c r="A220" s="1" t="s">
        <v>777</v>
      </c>
      <c r="B220" s="2" t="s">
        <v>778</v>
      </c>
      <c r="C220" s="279" t="s">
        <v>779</v>
      </c>
      <c r="D220" s="280"/>
      <c r="E220" s="2" t="s">
        <v>249</v>
      </c>
      <c r="F220" s="37">
        <v>5</v>
      </c>
      <c r="G220" s="78">
        <v>0</v>
      </c>
      <c r="H220" s="37">
        <f t="shared" si="288"/>
        <v>0</v>
      </c>
      <c r="I220" s="37">
        <f t="shared" si="289"/>
        <v>0</v>
      </c>
      <c r="J220" s="37">
        <f t="shared" si="290"/>
        <v>0</v>
      </c>
      <c r="K220" s="79" t="s">
        <v>334</v>
      </c>
      <c r="Z220" s="37">
        <f t="shared" si="291"/>
        <v>0</v>
      </c>
      <c r="AB220" s="37">
        <f t="shared" si="292"/>
        <v>0</v>
      </c>
      <c r="AC220" s="37">
        <f t="shared" si="293"/>
        <v>0</v>
      </c>
      <c r="AD220" s="37">
        <f t="shared" si="294"/>
        <v>0</v>
      </c>
      <c r="AE220" s="37">
        <f t="shared" si="295"/>
        <v>0</v>
      </c>
      <c r="AF220" s="37">
        <f t="shared" si="296"/>
        <v>0</v>
      </c>
      <c r="AG220" s="37">
        <f t="shared" si="297"/>
        <v>0</v>
      </c>
      <c r="AH220" s="37">
        <f t="shared" si="298"/>
        <v>0</v>
      </c>
      <c r="AI220" s="49" t="s">
        <v>89</v>
      </c>
      <c r="AJ220" s="37">
        <f t="shared" si="299"/>
        <v>0</v>
      </c>
      <c r="AK220" s="37">
        <f t="shared" si="300"/>
        <v>0</v>
      </c>
      <c r="AL220" s="37">
        <f t="shared" si="301"/>
        <v>0</v>
      </c>
      <c r="AN220" s="37">
        <v>21</v>
      </c>
      <c r="AO220" s="37">
        <f t="shared" si="312"/>
        <v>0</v>
      </c>
      <c r="AP220" s="37">
        <f t="shared" si="313"/>
        <v>0</v>
      </c>
      <c r="AQ220" s="72" t="s">
        <v>243</v>
      </c>
      <c r="AV220" s="37">
        <f t="shared" si="304"/>
        <v>0</v>
      </c>
      <c r="AW220" s="37">
        <f t="shared" si="305"/>
        <v>0</v>
      </c>
      <c r="AX220" s="37">
        <f t="shared" si="306"/>
        <v>0</v>
      </c>
      <c r="AY220" s="72" t="s">
        <v>705</v>
      </c>
      <c r="AZ220" s="72" t="s">
        <v>577</v>
      </c>
      <c r="BA220" s="49" t="s">
        <v>226</v>
      </c>
      <c r="BC220" s="37">
        <f t="shared" si="307"/>
        <v>0</v>
      </c>
      <c r="BD220" s="37">
        <f t="shared" si="308"/>
        <v>0</v>
      </c>
      <c r="BE220" s="37">
        <v>0</v>
      </c>
      <c r="BF220" s="37">
        <f>220</f>
        <v>220</v>
      </c>
      <c r="BH220" s="37">
        <f t="shared" si="309"/>
        <v>0</v>
      </c>
      <c r="BI220" s="37">
        <f t="shared" si="310"/>
        <v>0</v>
      </c>
      <c r="BJ220" s="37">
        <f t="shared" si="311"/>
        <v>0</v>
      </c>
      <c r="BK220" s="37"/>
      <c r="BL220" s="37">
        <v>728</v>
      </c>
      <c r="BW220" s="37">
        <v>21</v>
      </c>
      <c r="BX220" s="3" t="s">
        <v>779</v>
      </c>
    </row>
    <row r="221" spans="1:76" x14ac:dyDescent="0.25">
      <c r="A221" s="1" t="s">
        <v>780</v>
      </c>
      <c r="B221" s="2" t="s">
        <v>781</v>
      </c>
      <c r="C221" s="279" t="s">
        <v>782</v>
      </c>
      <c r="D221" s="280"/>
      <c r="E221" s="2" t="s">
        <v>783</v>
      </c>
      <c r="F221" s="37">
        <v>30</v>
      </c>
      <c r="G221" s="78">
        <v>0</v>
      </c>
      <c r="H221" s="37">
        <f t="shared" si="288"/>
        <v>0</v>
      </c>
      <c r="I221" s="37">
        <f t="shared" si="289"/>
        <v>0</v>
      </c>
      <c r="J221" s="37">
        <f t="shared" si="290"/>
        <v>0</v>
      </c>
      <c r="K221" s="79" t="s">
        <v>334</v>
      </c>
      <c r="Z221" s="37">
        <f t="shared" si="291"/>
        <v>0</v>
      </c>
      <c r="AB221" s="37">
        <f t="shared" si="292"/>
        <v>0</v>
      </c>
      <c r="AC221" s="37">
        <f t="shared" si="293"/>
        <v>0</v>
      </c>
      <c r="AD221" s="37">
        <f t="shared" si="294"/>
        <v>0</v>
      </c>
      <c r="AE221" s="37">
        <f t="shared" si="295"/>
        <v>0</v>
      </c>
      <c r="AF221" s="37">
        <f t="shared" si="296"/>
        <v>0</v>
      </c>
      <c r="AG221" s="37">
        <f t="shared" si="297"/>
        <v>0</v>
      </c>
      <c r="AH221" s="37">
        <f t="shared" si="298"/>
        <v>0</v>
      </c>
      <c r="AI221" s="49" t="s">
        <v>89</v>
      </c>
      <c r="AJ221" s="37">
        <f t="shared" si="299"/>
        <v>0</v>
      </c>
      <c r="AK221" s="37">
        <f t="shared" si="300"/>
        <v>0</v>
      </c>
      <c r="AL221" s="37">
        <f t="shared" si="301"/>
        <v>0</v>
      </c>
      <c r="AN221" s="37">
        <v>21</v>
      </c>
      <c r="AO221" s="37">
        <f t="shared" ref="AO221:AO226" si="314">G221*0</f>
        <v>0</v>
      </c>
      <c r="AP221" s="37">
        <f t="shared" ref="AP221:AP226" si="315">G221*(1-0)</f>
        <v>0</v>
      </c>
      <c r="AQ221" s="72" t="s">
        <v>243</v>
      </c>
      <c r="AV221" s="37">
        <f t="shared" si="304"/>
        <v>0</v>
      </c>
      <c r="AW221" s="37">
        <f t="shared" si="305"/>
        <v>0</v>
      </c>
      <c r="AX221" s="37">
        <f t="shared" si="306"/>
        <v>0</v>
      </c>
      <c r="AY221" s="72" t="s">
        <v>705</v>
      </c>
      <c r="AZ221" s="72" t="s">
        <v>577</v>
      </c>
      <c r="BA221" s="49" t="s">
        <v>226</v>
      </c>
      <c r="BC221" s="37">
        <f t="shared" si="307"/>
        <v>0</v>
      </c>
      <c r="BD221" s="37">
        <f t="shared" si="308"/>
        <v>0</v>
      </c>
      <c r="BE221" s="37">
        <v>0</v>
      </c>
      <c r="BF221" s="37">
        <f>221</f>
        <v>221</v>
      </c>
      <c r="BH221" s="37">
        <f t="shared" si="309"/>
        <v>0</v>
      </c>
      <c r="BI221" s="37">
        <f t="shared" si="310"/>
        <v>0</v>
      </c>
      <c r="BJ221" s="37">
        <f t="shared" si="311"/>
        <v>0</v>
      </c>
      <c r="BK221" s="37"/>
      <c r="BL221" s="37">
        <v>728</v>
      </c>
      <c r="BW221" s="37">
        <v>21</v>
      </c>
      <c r="BX221" s="3" t="s">
        <v>782</v>
      </c>
    </row>
    <row r="222" spans="1:76" x14ac:dyDescent="0.25">
      <c r="A222" s="1" t="s">
        <v>784</v>
      </c>
      <c r="B222" s="2" t="s">
        <v>785</v>
      </c>
      <c r="C222" s="279" t="s">
        <v>786</v>
      </c>
      <c r="D222" s="280"/>
      <c r="E222" s="2" t="s">
        <v>63</v>
      </c>
      <c r="F222" s="37">
        <v>5</v>
      </c>
      <c r="G222" s="78">
        <v>0</v>
      </c>
      <c r="H222" s="37">
        <f t="shared" si="288"/>
        <v>0</v>
      </c>
      <c r="I222" s="37">
        <f t="shared" si="289"/>
        <v>0</v>
      </c>
      <c r="J222" s="37">
        <f t="shared" si="290"/>
        <v>0</v>
      </c>
      <c r="K222" s="79" t="s">
        <v>334</v>
      </c>
      <c r="Z222" s="37">
        <f t="shared" si="291"/>
        <v>0</v>
      </c>
      <c r="AB222" s="37">
        <f t="shared" si="292"/>
        <v>0</v>
      </c>
      <c r="AC222" s="37">
        <f t="shared" si="293"/>
        <v>0</v>
      </c>
      <c r="AD222" s="37">
        <f t="shared" si="294"/>
        <v>0</v>
      </c>
      <c r="AE222" s="37">
        <f t="shared" si="295"/>
        <v>0</v>
      </c>
      <c r="AF222" s="37">
        <f t="shared" si="296"/>
        <v>0</v>
      </c>
      <c r="AG222" s="37">
        <f t="shared" si="297"/>
        <v>0</v>
      </c>
      <c r="AH222" s="37">
        <f t="shared" si="298"/>
        <v>0</v>
      </c>
      <c r="AI222" s="49" t="s">
        <v>89</v>
      </c>
      <c r="AJ222" s="37">
        <f t="shared" si="299"/>
        <v>0</v>
      </c>
      <c r="AK222" s="37">
        <f t="shared" si="300"/>
        <v>0</v>
      </c>
      <c r="AL222" s="37">
        <f t="shared" si="301"/>
        <v>0</v>
      </c>
      <c r="AN222" s="37">
        <v>21</v>
      </c>
      <c r="AO222" s="37">
        <f t="shared" si="314"/>
        <v>0</v>
      </c>
      <c r="AP222" s="37">
        <f t="shared" si="315"/>
        <v>0</v>
      </c>
      <c r="AQ222" s="72" t="s">
        <v>243</v>
      </c>
      <c r="AV222" s="37">
        <f t="shared" si="304"/>
        <v>0</v>
      </c>
      <c r="AW222" s="37">
        <f t="shared" si="305"/>
        <v>0</v>
      </c>
      <c r="AX222" s="37">
        <f t="shared" si="306"/>
        <v>0</v>
      </c>
      <c r="AY222" s="72" t="s">
        <v>705</v>
      </c>
      <c r="AZ222" s="72" t="s">
        <v>577</v>
      </c>
      <c r="BA222" s="49" t="s">
        <v>226</v>
      </c>
      <c r="BC222" s="37">
        <f t="shared" si="307"/>
        <v>0</v>
      </c>
      <c r="BD222" s="37">
        <f t="shared" si="308"/>
        <v>0</v>
      </c>
      <c r="BE222" s="37">
        <v>0</v>
      </c>
      <c r="BF222" s="37">
        <f>222</f>
        <v>222</v>
      </c>
      <c r="BH222" s="37">
        <f t="shared" si="309"/>
        <v>0</v>
      </c>
      <c r="BI222" s="37">
        <f t="shared" si="310"/>
        <v>0</v>
      </c>
      <c r="BJ222" s="37">
        <f t="shared" si="311"/>
        <v>0</v>
      </c>
      <c r="BK222" s="37"/>
      <c r="BL222" s="37">
        <v>728</v>
      </c>
      <c r="BW222" s="37">
        <v>21</v>
      </c>
      <c r="BX222" s="3" t="s">
        <v>786</v>
      </c>
    </row>
    <row r="223" spans="1:76" x14ac:dyDescent="0.25">
      <c r="A223" s="1" t="s">
        <v>787</v>
      </c>
      <c r="B223" s="2" t="s">
        <v>788</v>
      </c>
      <c r="C223" s="279" t="s">
        <v>789</v>
      </c>
      <c r="D223" s="280"/>
      <c r="E223" s="2" t="s">
        <v>63</v>
      </c>
      <c r="F223" s="37">
        <v>35</v>
      </c>
      <c r="G223" s="78">
        <v>0</v>
      </c>
      <c r="H223" s="37">
        <f t="shared" si="288"/>
        <v>0</v>
      </c>
      <c r="I223" s="37">
        <f t="shared" si="289"/>
        <v>0</v>
      </c>
      <c r="J223" s="37">
        <f t="shared" si="290"/>
        <v>0</v>
      </c>
      <c r="K223" s="79" t="s">
        <v>334</v>
      </c>
      <c r="Z223" s="37">
        <f t="shared" si="291"/>
        <v>0</v>
      </c>
      <c r="AB223" s="37">
        <f t="shared" si="292"/>
        <v>0</v>
      </c>
      <c r="AC223" s="37">
        <f t="shared" si="293"/>
        <v>0</v>
      </c>
      <c r="AD223" s="37">
        <f t="shared" si="294"/>
        <v>0</v>
      </c>
      <c r="AE223" s="37">
        <f t="shared" si="295"/>
        <v>0</v>
      </c>
      <c r="AF223" s="37">
        <f t="shared" si="296"/>
        <v>0</v>
      </c>
      <c r="AG223" s="37">
        <f t="shared" si="297"/>
        <v>0</v>
      </c>
      <c r="AH223" s="37">
        <f t="shared" si="298"/>
        <v>0</v>
      </c>
      <c r="AI223" s="49" t="s">
        <v>89</v>
      </c>
      <c r="AJ223" s="37">
        <f t="shared" si="299"/>
        <v>0</v>
      </c>
      <c r="AK223" s="37">
        <f t="shared" si="300"/>
        <v>0</v>
      </c>
      <c r="AL223" s="37">
        <f t="shared" si="301"/>
        <v>0</v>
      </c>
      <c r="AN223" s="37">
        <v>21</v>
      </c>
      <c r="AO223" s="37">
        <f t="shared" si="314"/>
        <v>0</v>
      </c>
      <c r="AP223" s="37">
        <f t="shared" si="315"/>
        <v>0</v>
      </c>
      <c r="AQ223" s="72" t="s">
        <v>243</v>
      </c>
      <c r="AV223" s="37">
        <f t="shared" si="304"/>
        <v>0</v>
      </c>
      <c r="AW223" s="37">
        <f t="shared" si="305"/>
        <v>0</v>
      </c>
      <c r="AX223" s="37">
        <f t="shared" si="306"/>
        <v>0</v>
      </c>
      <c r="AY223" s="72" t="s">
        <v>705</v>
      </c>
      <c r="AZ223" s="72" t="s">
        <v>577</v>
      </c>
      <c r="BA223" s="49" t="s">
        <v>226</v>
      </c>
      <c r="BC223" s="37">
        <f t="shared" si="307"/>
        <v>0</v>
      </c>
      <c r="BD223" s="37">
        <f t="shared" si="308"/>
        <v>0</v>
      </c>
      <c r="BE223" s="37">
        <v>0</v>
      </c>
      <c r="BF223" s="37">
        <f>223</f>
        <v>223</v>
      </c>
      <c r="BH223" s="37">
        <f t="shared" si="309"/>
        <v>0</v>
      </c>
      <c r="BI223" s="37">
        <f t="shared" si="310"/>
        <v>0</v>
      </c>
      <c r="BJ223" s="37">
        <f t="shared" si="311"/>
        <v>0</v>
      </c>
      <c r="BK223" s="37"/>
      <c r="BL223" s="37">
        <v>728</v>
      </c>
      <c r="BW223" s="37">
        <v>21</v>
      </c>
      <c r="BX223" s="3" t="s">
        <v>789</v>
      </c>
    </row>
    <row r="224" spans="1:76" x14ac:dyDescent="0.25">
      <c r="A224" s="1" t="s">
        <v>790</v>
      </c>
      <c r="B224" s="2" t="s">
        <v>791</v>
      </c>
      <c r="C224" s="279" t="s">
        <v>792</v>
      </c>
      <c r="D224" s="280"/>
      <c r="E224" s="2" t="s">
        <v>63</v>
      </c>
      <c r="F224" s="37">
        <v>5</v>
      </c>
      <c r="G224" s="78">
        <v>0</v>
      </c>
      <c r="H224" s="37">
        <f t="shared" si="288"/>
        <v>0</v>
      </c>
      <c r="I224" s="37">
        <f t="shared" si="289"/>
        <v>0</v>
      </c>
      <c r="J224" s="37">
        <f t="shared" si="290"/>
        <v>0</v>
      </c>
      <c r="K224" s="79" t="s">
        <v>334</v>
      </c>
      <c r="Z224" s="37">
        <f t="shared" si="291"/>
        <v>0</v>
      </c>
      <c r="AB224" s="37">
        <f t="shared" si="292"/>
        <v>0</v>
      </c>
      <c r="AC224" s="37">
        <f t="shared" si="293"/>
        <v>0</v>
      </c>
      <c r="AD224" s="37">
        <f t="shared" si="294"/>
        <v>0</v>
      </c>
      <c r="AE224" s="37">
        <f t="shared" si="295"/>
        <v>0</v>
      </c>
      <c r="AF224" s="37">
        <f t="shared" si="296"/>
        <v>0</v>
      </c>
      <c r="AG224" s="37">
        <f t="shared" si="297"/>
        <v>0</v>
      </c>
      <c r="AH224" s="37">
        <f t="shared" si="298"/>
        <v>0</v>
      </c>
      <c r="AI224" s="49" t="s">
        <v>89</v>
      </c>
      <c r="AJ224" s="37">
        <f t="shared" si="299"/>
        <v>0</v>
      </c>
      <c r="AK224" s="37">
        <f t="shared" si="300"/>
        <v>0</v>
      </c>
      <c r="AL224" s="37">
        <f t="shared" si="301"/>
        <v>0</v>
      </c>
      <c r="AN224" s="37">
        <v>21</v>
      </c>
      <c r="AO224" s="37">
        <f t="shared" si="314"/>
        <v>0</v>
      </c>
      <c r="AP224" s="37">
        <f t="shared" si="315"/>
        <v>0</v>
      </c>
      <c r="AQ224" s="72" t="s">
        <v>243</v>
      </c>
      <c r="AV224" s="37">
        <f t="shared" si="304"/>
        <v>0</v>
      </c>
      <c r="AW224" s="37">
        <f t="shared" si="305"/>
        <v>0</v>
      </c>
      <c r="AX224" s="37">
        <f t="shared" si="306"/>
        <v>0</v>
      </c>
      <c r="AY224" s="72" t="s">
        <v>705</v>
      </c>
      <c r="AZ224" s="72" t="s">
        <v>577</v>
      </c>
      <c r="BA224" s="49" t="s">
        <v>226</v>
      </c>
      <c r="BC224" s="37">
        <f t="shared" si="307"/>
        <v>0</v>
      </c>
      <c r="BD224" s="37">
        <f t="shared" si="308"/>
        <v>0</v>
      </c>
      <c r="BE224" s="37">
        <v>0</v>
      </c>
      <c r="BF224" s="37">
        <f>224</f>
        <v>224</v>
      </c>
      <c r="BH224" s="37">
        <f t="shared" si="309"/>
        <v>0</v>
      </c>
      <c r="BI224" s="37">
        <f t="shared" si="310"/>
        <v>0</v>
      </c>
      <c r="BJ224" s="37">
        <f t="shared" si="311"/>
        <v>0</v>
      </c>
      <c r="BK224" s="37"/>
      <c r="BL224" s="37">
        <v>728</v>
      </c>
      <c r="BW224" s="37">
        <v>21</v>
      </c>
      <c r="BX224" s="3" t="s">
        <v>792</v>
      </c>
    </row>
    <row r="225" spans="1:76" x14ac:dyDescent="0.25">
      <c r="A225" s="1" t="s">
        <v>793</v>
      </c>
      <c r="B225" s="2" t="s">
        <v>794</v>
      </c>
      <c r="C225" s="279" t="s">
        <v>795</v>
      </c>
      <c r="D225" s="280"/>
      <c r="E225" s="2" t="s">
        <v>796</v>
      </c>
      <c r="F225" s="37">
        <v>8</v>
      </c>
      <c r="G225" s="78">
        <v>0</v>
      </c>
      <c r="H225" s="37">
        <f t="shared" si="288"/>
        <v>0</v>
      </c>
      <c r="I225" s="37">
        <f t="shared" si="289"/>
        <v>0</v>
      </c>
      <c r="J225" s="37">
        <f t="shared" si="290"/>
        <v>0</v>
      </c>
      <c r="K225" s="79" t="s">
        <v>334</v>
      </c>
      <c r="Z225" s="37">
        <f t="shared" si="291"/>
        <v>0</v>
      </c>
      <c r="AB225" s="37">
        <f t="shared" si="292"/>
        <v>0</v>
      </c>
      <c r="AC225" s="37">
        <f t="shared" si="293"/>
        <v>0</v>
      </c>
      <c r="AD225" s="37">
        <f t="shared" si="294"/>
        <v>0</v>
      </c>
      <c r="AE225" s="37">
        <f t="shared" si="295"/>
        <v>0</v>
      </c>
      <c r="AF225" s="37">
        <f t="shared" si="296"/>
        <v>0</v>
      </c>
      <c r="AG225" s="37">
        <f t="shared" si="297"/>
        <v>0</v>
      </c>
      <c r="AH225" s="37">
        <f t="shared" si="298"/>
        <v>0</v>
      </c>
      <c r="AI225" s="49" t="s">
        <v>89</v>
      </c>
      <c r="AJ225" s="37">
        <f t="shared" si="299"/>
        <v>0</v>
      </c>
      <c r="AK225" s="37">
        <f t="shared" si="300"/>
        <v>0</v>
      </c>
      <c r="AL225" s="37">
        <f t="shared" si="301"/>
        <v>0</v>
      </c>
      <c r="AN225" s="37">
        <v>21</v>
      </c>
      <c r="AO225" s="37">
        <f t="shared" si="314"/>
        <v>0</v>
      </c>
      <c r="AP225" s="37">
        <f t="shared" si="315"/>
        <v>0</v>
      </c>
      <c r="AQ225" s="72" t="s">
        <v>243</v>
      </c>
      <c r="AV225" s="37">
        <f t="shared" si="304"/>
        <v>0</v>
      </c>
      <c r="AW225" s="37">
        <f t="shared" si="305"/>
        <v>0</v>
      </c>
      <c r="AX225" s="37">
        <f t="shared" si="306"/>
        <v>0</v>
      </c>
      <c r="AY225" s="72" t="s">
        <v>705</v>
      </c>
      <c r="AZ225" s="72" t="s">
        <v>577</v>
      </c>
      <c r="BA225" s="49" t="s">
        <v>226</v>
      </c>
      <c r="BC225" s="37">
        <f t="shared" si="307"/>
        <v>0</v>
      </c>
      <c r="BD225" s="37">
        <f t="shared" si="308"/>
        <v>0</v>
      </c>
      <c r="BE225" s="37">
        <v>0</v>
      </c>
      <c r="BF225" s="37">
        <f>225</f>
        <v>225</v>
      </c>
      <c r="BH225" s="37">
        <f t="shared" si="309"/>
        <v>0</v>
      </c>
      <c r="BI225" s="37">
        <f t="shared" si="310"/>
        <v>0</v>
      </c>
      <c r="BJ225" s="37">
        <f t="shared" si="311"/>
        <v>0</v>
      </c>
      <c r="BK225" s="37"/>
      <c r="BL225" s="37">
        <v>728</v>
      </c>
      <c r="BW225" s="37">
        <v>21</v>
      </c>
      <c r="BX225" s="3" t="s">
        <v>795</v>
      </c>
    </row>
    <row r="226" spans="1:76" x14ac:dyDescent="0.25">
      <c r="A226" s="1" t="s">
        <v>797</v>
      </c>
      <c r="B226" s="2" t="s">
        <v>798</v>
      </c>
      <c r="C226" s="279" t="s">
        <v>799</v>
      </c>
      <c r="D226" s="280"/>
      <c r="E226" s="2" t="s">
        <v>796</v>
      </c>
      <c r="F226" s="37">
        <v>4</v>
      </c>
      <c r="G226" s="78">
        <v>0</v>
      </c>
      <c r="H226" s="37">
        <f t="shared" si="288"/>
        <v>0</v>
      </c>
      <c r="I226" s="37">
        <f t="shared" si="289"/>
        <v>0</v>
      </c>
      <c r="J226" s="37">
        <f t="shared" si="290"/>
        <v>0</v>
      </c>
      <c r="K226" s="79" t="s">
        <v>334</v>
      </c>
      <c r="Z226" s="37">
        <f t="shared" si="291"/>
        <v>0</v>
      </c>
      <c r="AB226" s="37">
        <f t="shared" si="292"/>
        <v>0</v>
      </c>
      <c r="AC226" s="37">
        <f t="shared" si="293"/>
        <v>0</v>
      </c>
      <c r="AD226" s="37">
        <f t="shared" si="294"/>
        <v>0</v>
      </c>
      <c r="AE226" s="37">
        <f t="shared" si="295"/>
        <v>0</v>
      </c>
      <c r="AF226" s="37">
        <f t="shared" si="296"/>
        <v>0</v>
      </c>
      <c r="AG226" s="37">
        <f t="shared" si="297"/>
        <v>0</v>
      </c>
      <c r="AH226" s="37">
        <f t="shared" si="298"/>
        <v>0</v>
      </c>
      <c r="AI226" s="49" t="s">
        <v>89</v>
      </c>
      <c r="AJ226" s="37">
        <f t="shared" si="299"/>
        <v>0</v>
      </c>
      <c r="AK226" s="37">
        <f t="shared" si="300"/>
        <v>0</v>
      </c>
      <c r="AL226" s="37">
        <f t="shared" si="301"/>
        <v>0</v>
      </c>
      <c r="AN226" s="37">
        <v>21</v>
      </c>
      <c r="AO226" s="37">
        <f t="shared" si="314"/>
        <v>0</v>
      </c>
      <c r="AP226" s="37">
        <f t="shared" si="315"/>
        <v>0</v>
      </c>
      <c r="AQ226" s="72" t="s">
        <v>243</v>
      </c>
      <c r="AV226" s="37">
        <f t="shared" si="304"/>
        <v>0</v>
      </c>
      <c r="AW226" s="37">
        <f t="shared" si="305"/>
        <v>0</v>
      </c>
      <c r="AX226" s="37">
        <f t="shared" si="306"/>
        <v>0</v>
      </c>
      <c r="AY226" s="72" t="s">
        <v>705</v>
      </c>
      <c r="AZ226" s="72" t="s">
        <v>577</v>
      </c>
      <c r="BA226" s="49" t="s">
        <v>226</v>
      </c>
      <c r="BC226" s="37">
        <f t="shared" si="307"/>
        <v>0</v>
      </c>
      <c r="BD226" s="37">
        <f t="shared" si="308"/>
        <v>0</v>
      </c>
      <c r="BE226" s="37">
        <v>0</v>
      </c>
      <c r="BF226" s="37">
        <f>226</f>
        <v>226</v>
      </c>
      <c r="BH226" s="37">
        <f t="shared" si="309"/>
        <v>0</v>
      </c>
      <c r="BI226" s="37">
        <f t="shared" si="310"/>
        <v>0</v>
      </c>
      <c r="BJ226" s="37">
        <f t="shared" si="311"/>
        <v>0</v>
      </c>
      <c r="BK226" s="37"/>
      <c r="BL226" s="37">
        <v>728</v>
      </c>
      <c r="BW226" s="37">
        <v>21</v>
      </c>
      <c r="BX226" s="3" t="s">
        <v>799</v>
      </c>
    </row>
    <row r="227" spans="1:76" x14ac:dyDescent="0.25">
      <c r="A227" s="80" t="s">
        <v>4</v>
      </c>
      <c r="B227" s="81" t="s">
        <v>141</v>
      </c>
      <c r="C227" s="365" t="s">
        <v>142</v>
      </c>
      <c r="D227" s="366"/>
      <c r="E227" s="82" t="s">
        <v>81</v>
      </c>
      <c r="F227" s="82" t="s">
        <v>81</v>
      </c>
      <c r="G227" s="83" t="s">
        <v>81</v>
      </c>
      <c r="H227" s="43">
        <f>SUM(H228:H230)</f>
        <v>0</v>
      </c>
      <c r="I227" s="43">
        <f>SUM(I228:I230)</f>
        <v>0</v>
      </c>
      <c r="J227" s="43">
        <f>SUM(J228:J230)</f>
        <v>0</v>
      </c>
      <c r="K227" s="84" t="s">
        <v>4</v>
      </c>
      <c r="AI227" s="49" t="s">
        <v>89</v>
      </c>
      <c r="AS227" s="43">
        <f>SUM(AJ228:AJ230)</f>
        <v>0</v>
      </c>
      <c r="AT227" s="43">
        <f>SUM(AK228:AK230)</f>
        <v>0</v>
      </c>
      <c r="AU227" s="43">
        <f>SUM(AL228:AL230)</f>
        <v>0</v>
      </c>
    </row>
    <row r="228" spans="1:76" x14ac:dyDescent="0.25">
      <c r="A228" s="1" t="s">
        <v>800</v>
      </c>
      <c r="B228" s="2" t="s">
        <v>801</v>
      </c>
      <c r="C228" s="279" t="s">
        <v>802</v>
      </c>
      <c r="D228" s="280"/>
      <c r="E228" s="2" t="s">
        <v>803</v>
      </c>
      <c r="F228" s="37">
        <v>1</v>
      </c>
      <c r="G228" s="78">
        <f>'Zdroj tepla'!G54</f>
        <v>0</v>
      </c>
      <c r="H228" s="37">
        <f>F228*AO228</f>
        <v>0</v>
      </c>
      <c r="I228" s="37">
        <f>F228*AP228</f>
        <v>0</v>
      </c>
      <c r="J228" s="37">
        <f>F228*G228</f>
        <v>0</v>
      </c>
      <c r="K228" s="79" t="s">
        <v>334</v>
      </c>
      <c r="Z228" s="37">
        <f>IF(AQ228="5",BJ228,0)</f>
        <v>0</v>
      </c>
      <c r="AB228" s="37">
        <f>IF(AQ228="1",BH228,0)</f>
        <v>0</v>
      </c>
      <c r="AC228" s="37">
        <f>IF(AQ228="1",BI228,0)</f>
        <v>0</v>
      </c>
      <c r="AD228" s="37">
        <f>IF(AQ228="7",BH228,0)</f>
        <v>0</v>
      </c>
      <c r="AE228" s="37">
        <f>IF(AQ228="7",BI228,0)</f>
        <v>0</v>
      </c>
      <c r="AF228" s="37">
        <f>IF(AQ228="2",BH228,0)</f>
        <v>0</v>
      </c>
      <c r="AG228" s="37">
        <f>IF(AQ228="2",BI228,0)</f>
        <v>0</v>
      </c>
      <c r="AH228" s="37">
        <f>IF(AQ228="0",BJ228,0)</f>
        <v>0</v>
      </c>
      <c r="AI228" s="49" t="s">
        <v>89</v>
      </c>
      <c r="AJ228" s="37">
        <f>IF(AN228=0,J228,0)</f>
        <v>0</v>
      </c>
      <c r="AK228" s="37">
        <f>IF(AN228=12,J228,0)</f>
        <v>0</v>
      </c>
      <c r="AL228" s="37">
        <f>IF(AN228=21,J228,0)</f>
        <v>0</v>
      </c>
      <c r="AN228" s="37">
        <v>21</v>
      </c>
      <c r="AO228" s="37">
        <f>G228*0</f>
        <v>0</v>
      </c>
      <c r="AP228" s="37">
        <f>G228*(1-0)</f>
        <v>0</v>
      </c>
      <c r="AQ228" s="72" t="s">
        <v>243</v>
      </c>
      <c r="AV228" s="37">
        <f>AW228+AX228</f>
        <v>0</v>
      </c>
      <c r="AW228" s="37">
        <f>F228*AO228</f>
        <v>0</v>
      </c>
      <c r="AX228" s="37">
        <f>F228*AP228</f>
        <v>0</v>
      </c>
      <c r="AY228" s="72" t="s">
        <v>804</v>
      </c>
      <c r="AZ228" s="72" t="s">
        <v>805</v>
      </c>
      <c r="BA228" s="49" t="s">
        <v>226</v>
      </c>
      <c r="BC228" s="37">
        <f>AW228+AX228</f>
        <v>0</v>
      </c>
      <c r="BD228" s="37">
        <f>G228/(100-BE228)*100</f>
        <v>0</v>
      </c>
      <c r="BE228" s="37">
        <v>0</v>
      </c>
      <c r="BF228" s="37">
        <f>228</f>
        <v>228</v>
      </c>
      <c r="BH228" s="37">
        <f>F228*AO228</f>
        <v>0</v>
      </c>
      <c r="BI228" s="37">
        <f>F228*AP228</f>
        <v>0</v>
      </c>
      <c r="BJ228" s="37">
        <f>F228*G228</f>
        <v>0</v>
      </c>
      <c r="BK228" s="37"/>
      <c r="BL228" s="37">
        <v>73</v>
      </c>
      <c r="BW228" s="37">
        <v>21</v>
      </c>
      <c r="BX228" s="3" t="s">
        <v>802</v>
      </c>
    </row>
    <row r="229" spans="1:76" x14ac:dyDescent="0.25">
      <c r="A229" s="1" t="s">
        <v>806</v>
      </c>
      <c r="B229" s="2" t="s">
        <v>807</v>
      </c>
      <c r="C229" s="279" t="s">
        <v>808</v>
      </c>
      <c r="D229" s="280"/>
      <c r="E229" s="2" t="s">
        <v>803</v>
      </c>
      <c r="F229" s="37">
        <v>1</v>
      </c>
      <c r="G229" s="78">
        <f>D.skupina!G56</f>
        <v>0</v>
      </c>
      <c r="H229" s="37">
        <f>F229*AO229</f>
        <v>0</v>
      </c>
      <c r="I229" s="37">
        <f>F229*AP229</f>
        <v>0</v>
      </c>
      <c r="J229" s="37">
        <f>F229*G229</f>
        <v>0</v>
      </c>
      <c r="K229" s="79" t="s">
        <v>334</v>
      </c>
      <c r="Z229" s="37">
        <f>IF(AQ229="5",BJ229,0)</f>
        <v>0</v>
      </c>
      <c r="AB229" s="37">
        <f>IF(AQ229="1",BH229,0)</f>
        <v>0</v>
      </c>
      <c r="AC229" s="37">
        <f>IF(AQ229="1",BI229,0)</f>
        <v>0</v>
      </c>
      <c r="AD229" s="37">
        <f>IF(AQ229="7",BH229,0)</f>
        <v>0</v>
      </c>
      <c r="AE229" s="37">
        <f>IF(AQ229="7",BI229,0)</f>
        <v>0</v>
      </c>
      <c r="AF229" s="37">
        <f>IF(AQ229="2",BH229,0)</f>
        <v>0</v>
      </c>
      <c r="AG229" s="37">
        <f>IF(AQ229="2",BI229,0)</f>
        <v>0</v>
      </c>
      <c r="AH229" s="37">
        <f>IF(AQ229="0",BJ229,0)</f>
        <v>0</v>
      </c>
      <c r="AI229" s="49" t="s">
        <v>89</v>
      </c>
      <c r="AJ229" s="37">
        <f>IF(AN229=0,J229,0)</f>
        <v>0</v>
      </c>
      <c r="AK229" s="37">
        <f>IF(AN229=12,J229,0)</f>
        <v>0</v>
      </c>
      <c r="AL229" s="37">
        <f>IF(AN229=21,J229,0)</f>
        <v>0</v>
      </c>
      <c r="AN229" s="37">
        <v>21</v>
      </c>
      <c r="AO229" s="37">
        <f>G229*0</f>
        <v>0</v>
      </c>
      <c r="AP229" s="37">
        <f>G229*(1-0)</f>
        <v>0</v>
      </c>
      <c r="AQ229" s="72" t="s">
        <v>243</v>
      </c>
      <c r="AV229" s="37">
        <f>AW229+AX229</f>
        <v>0</v>
      </c>
      <c r="AW229" s="37">
        <f>F229*AO229</f>
        <v>0</v>
      </c>
      <c r="AX229" s="37">
        <f>F229*AP229</f>
        <v>0</v>
      </c>
      <c r="AY229" s="72" t="s">
        <v>804</v>
      </c>
      <c r="AZ229" s="72" t="s">
        <v>805</v>
      </c>
      <c r="BA229" s="49" t="s">
        <v>226</v>
      </c>
      <c r="BC229" s="37">
        <f>AW229+AX229</f>
        <v>0</v>
      </c>
      <c r="BD229" s="37">
        <f>G229/(100-BE229)*100</f>
        <v>0</v>
      </c>
      <c r="BE229" s="37">
        <v>0</v>
      </c>
      <c r="BF229" s="37">
        <f>229</f>
        <v>229</v>
      </c>
      <c r="BH229" s="37">
        <f>F229*AO229</f>
        <v>0</v>
      </c>
      <c r="BI229" s="37">
        <f>F229*AP229</f>
        <v>0</v>
      </c>
      <c r="BJ229" s="37">
        <f>F229*G229</f>
        <v>0</v>
      </c>
      <c r="BK229" s="37"/>
      <c r="BL229" s="37">
        <v>73</v>
      </c>
      <c r="BW229" s="37">
        <v>21</v>
      </c>
      <c r="BX229" s="3" t="s">
        <v>808</v>
      </c>
    </row>
    <row r="230" spans="1:76" x14ac:dyDescent="0.25">
      <c r="A230" s="1" t="s">
        <v>809</v>
      </c>
      <c r="B230" s="2" t="s">
        <v>810</v>
      </c>
      <c r="C230" s="279" t="s">
        <v>811</v>
      </c>
      <c r="D230" s="280"/>
      <c r="E230" s="2" t="s">
        <v>63</v>
      </c>
      <c r="F230" s="37">
        <v>5136.18</v>
      </c>
      <c r="G230" s="78">
        <v>0</v>
      </c>
      <c r="H230" s="37">
        <f>F230*AO230</f>
        <v>0</v>
      </c>
      <c r="I230" s="37">
        <f>F230*AP230</f>
        <v>0</v>
      </c>
      <c r="J230" s="37">
        <f>F230*G230</f>
        <v>0</v>
      </c>
      <c r="K230" s="79" t="s">
        <v>223</v>
      </c>
      <c r="Z230" s="37">
        <f>IF(AQ230="5",BJ230,0)</f>
        <v>0</v>
      </c>
      <c r="AB230" s="37">
        <f>IF(AQ230="1",BH230,0)</f>
        <v>0</v>
      </c>
      <c r="AC230" s="37">
        <f>IF(AQ230="1",BI230,0)</f>
        <v>0</v>
      </c>
      <c r="AD230" s="37">
        <f>IF(AQ230="7",BH230,0)</f>
        <v>0</v>
      </c>
      <c r="AE230" s="37">
        <f>IF(AQ230="7",BI230,0)</f>
        <v>0</v>
      </c>
      <c r="AF230" s="37">
        <f>IF(AQ230="2",BH230,0)</f>
        <v>0</v>
      </c>
      <c r="AG230" s="37">
        <f>IF(AQ230="2",BI230,0)</f>
        <v>0</v>
      </c>
      <c r="AH230" s="37">
        <f>IF(AQ230="0",BJ230,0)</f>
        <v>0</v>
      </c>
      <c r="AI230" s="49" t="s">
        <v>89</v>
      </c>
      <c r="AJ230" s="37">
        <f>IF(AN230=0,J230,0)</f>
        <v>0</v>
      </c>
      <c r="AK230" s="37">
        <f>IF(AN230=12,J230,0)</f>
        <v>0</v>
      </c>
      <c r="AL230" s="37">
        <f>IF(AN230=21,J230,0)</f>
        <v>0</v>
      </c>
      <c r="AN230" s="37">
        <v>21</v>
      </c>
      <c r="AO230" s="37">
        <f>G230*0</f>
        <v>0</v>
      </c>
      <c r="AP230" s="37">
        <f>G230*(1-0)</f>
        <v>0</v>
      </c>
      <c r="AQ230" s="72" t="s">
        <v>237</v>
      </c>
      <c r="AV230" s="37">
        <f>AW230+AX230</f>
        <v>0</v>
      </c>
      <c r="AW230" s="37">
        <f>F230*AO230</f>
        <v>0</v>
      </c>
      <c r="AX230" s="37">
        <f>F230*AP230</f>
        <v>0</v>
      </c>
      <c r="AY230" s="72" t="s">
        <v>804</v>
      </c>
      <c r="AZ230" s="72" t="s">
        <v>805</v>
      </c>
      <c r="BA230" s="49" t="s">
        <v>226</v>
      </c>
      <c r="BC230" s="37">
        <f>AW230+AX230</f>
        <v>0</v>
      </c>
      <c r="BD230" s="37">
        <f>G230/(100-BE230)*100</f>
        <v>0</v>
      </c>
      <c r="BE230" s="37">
        <v>0</v>
      </c>
      <c r="BF230" s="37">
        <f>230</f>
        <v>230</v>
      </c>
      <c r="BH230" s="37">
        <f>F230*AO230</f>
        <v>0</v>
      </c>
      <c r="BI230" s="37">
        <f>F230*AP230</f>
        <v>0</v>
      </c>
      <c r="BJ230" s="37">
        <f>F230*G230</f>
        <v>0</v>
      </c>
      <c r="BK230" s="37"/>
      <c r="BL230" s="37">
        <v>73</v>
      </c>
      <c r="BW230" s="37">
        <v>21</v>
      </c>
      <c r="BX230" s="3" t="s">
        <v>811</v>
      </c>
    </row>
    <row r="231" spans="1:76" x14ac:dyDescent="0.25">
      <c r="A231" s="80" t="s">
        <v>4</v>
      </c>
      <c r="B231" s="81" t="s">
        <v>143</v>
      </c>
      <c r="C231" s="365" t="s">
        <v>144</v>
      </c>
      <c r="D231" s="366"/>
      <c r="E231" s="82" t="s">
        <v>81</v>
      </c>
      <c r="F231" s="82" t="s">
        <v>81</v>
      </c>
      <c r="G231" s="83" t="s">
        <v>81</v>
      </c>
      <c r="H231" s="43">
        <f>SUM(H232:H237)</f>
        <v>0</v>
      </c>
      <c r="I231" s="43">
        <f>SUM(I232:I237)</f>
        <v>0</v>
      </c>
      <c r="J231" s="43">
        <f>SUM(J232:J237)</f>
        <v>0</v>
      </c>
      <c r="K231" s="84" t="s">
        <v>4</v>
      </c>
      <c r="AI231" s="49" t="s">
        <v>89</v>
      </c>
      <c r="AS231" s="43">
        <f>SUM(AJ232:AJ237)</f>
        <v>0</v>
      </c>
      <c r="AT231" s="43">
        <f>SUM(AK232:AK237)</f>
        <v>0</v>
      </c>
      <c r="AU231" s="43">
        <f>SUM(AL232:AL237)</f>
        <v>0</v>
      </c>
    </row>
    <row r="232" spans="1:76" x14ac:dyDescent="0.25">
      <c r="A232" s="1" t="s">
        <v>812</v>
      </c>
      <c r="B232" s="2" t="s">
        <v>813</v>
      </c>
      <c r="C232" s="279" t="s">
        <v>814</v>
      </c>
      <c r="D232" s="280"/>
      <c r="E232" s="2" t="s">
        <v>249</v>
      </c>
      <c r="F232" s="37">
        <v>104.79</v>
      </c>
      <c r="G232" s="78">
        <v>0</v>
      </c>
      <c r="H232" s="37">
        <f t="shared" ref="H232:H237" si="316">F232*AO232</f>
        <v>0</v>
      </c>
      <c r="I232" s="37">
        <f t="shared" ref="I232:I237" si="317">F232*AP232</f>
        <v>0</v>
      </c>
      <c r="J232" s="37">
        <f t="shared" ref="J232:J237" si="318">F232*G232</f>
        <v>0</v>
      </c>
      <c r="K232" s="79" t="s">
        <v>223</v>
      </c>
      <c r="Z232" s="37">
        <f t="shared" ref="Z232:Z237" si="319">IF(AQ232="5",BJ232,0)</f>
        <v>0</v>
      </c>
      <c r="AB232" s="37">
        <f t="shared" ref="AB232:AB237" si="320">IF(AQ232="1",BH232,0)</f>
        <v>0</v>
      </c>
      <c r="AC232" s="37">
        <f t="shared" ref="AC232:AC237" si="321">IF(AQ232="1",BI232,0)</f>
        <v>0</v>
      </c>
      <c r="AD232" s="37">
        <f t="shared" ref="AD232:AD237" si="322">IF(AQ232="7",BH232,0)</f>
        <v>0</v>
      </c>
      <c r="AE232" s="37">
        <f t="shared" ref="AE232:AE237" si="323">IF(AQ232="7",BI232,0)</f>
        <v>0</v>
      </c>
      <c r="AF232" s="37">
        <f t="shared" ref="AF232:AF237" si="324">IF(AQ232="2",BH232,0)</f>
        <v>0</v>
      </c>
      <c r="AG232" s="37">
        <f t="shared" ref="AG232:AG237" si="325">IF(AQ232="2",BI232,0)</f>
        <v>0</v>
      </c>
      <c r="AH232" s="37">
        <f t="shared" ref="AH232:AH237" si="326">IF(AQ232="0",BJ232,0)</f>
        <v>0</v>
      </c>
      <c r="AI232" s="49" t="s">
        <v>89</v>
      </c>
      <c r="AJ232" s="37">
        <f t="shared" ref="AJ232:AJ237" si="327">IF(AN232=0,J232,0)</f>
        <v>0</v>
      </c>
      <c r="AK232" s="37">
        <f t="shared" ref="AK232:AK237" si="328">IF(AN232=12,J232,0)</f>
        <v>0</v>
      </c>
      <c r="AL232" s="37">
        <f t="shared" ref="AL232:AL237" si="329">IF(AN232=21,J232,0)</f>
        <v>0</v>
      </c>
      <c r="AN232" s="37">
        <v>21</v>
      </c>
      <c r="AO232" s="37">
        <f>G232*0.655259259</f>
        <v>0</v>
      </c>
      <c r="AP232" s="37">
        <f>G232*(1-0.655259259)</f>
        <v>0</v>
      </c>
      <c r="AQ232" s="72" t="s">
        <v>243</v>
      </c>
      <c r="AV232" s="37">
        <f t="shared" ref="AV232:AV237" si="330">AW232+AX232</f>
        <v>0</v>
      </c>
      <c r="AW232" s="37">
        <f t="shared" ref="AW232:AW237" si="331">F232*AO232</f>
        <v>0</v>
      </c>
      <c r="AX232" s="37">
        <f t="shared" ref="AX232:AX237" si="332">F232*AP232</f>
        <v>0</v>
      </c>
      <c r="AY232" s="72" t="s">
        <v>815</v>
      </c>
      <c r="AZ232" s="72" t="s">
        <v>816</v>
      </c>
      <c r="BA232" s="49" t="s">
        <v>226</v>
      </c>
      <c r="BC232" s="37">
        <f t="shared" ref="BC232:BC237" si="333">AW232+AX232</f>
        <v>0</v>
      </c>
      <c r="BD232" s="37">
        <f t="shared" ref="BD232:BD237" si="334">G232/(100-BE232)*100</f>
        <v>0</v>
      </c>
      <c r="BE232" s="37">
        <v>0</v>
      </c>
      <c r="BF232" s="37">
        <f>232</f>
        <v>232</v>
      </c>
      <c r="BH232" s="37">
        <f t="shared" ref="BH232:BH237" si="335">F232*AO232</f>
        <v>0</v>
      </c>
      <c r="BI232" s="37">
        <f t="shared" ref="BI232:BI237" si="336">F232*AP232</f>
        <v>0</v>
      </c>
      <c r="BJ232" s="37">
        <f t="shared" ref="BJ232:BJ237" si="337">F232*G232</f>
        <v>0</v>
      </c>
      <c r="BK232" s="37"/>
      <c r="BL232" s="37">
        <v>762</v>
      </c>
      <c r="BW232" s="37">
        <v>21</v>
      </c>
      <c r="BX232" s="3" t="s">
        <v>814</v>
      </c>
    </row>
    <row r="233" spans="1:76" x14ac:dyDescent="0.25">
      <c r="A233" s="1" t="s">
        <v>817</v>
      </c>
      <c r="B233" s="2" t="s">
        <v>818</v>
      </c>
      <c r="C233" s="279" t="s">
        <v>819</v>
      </c>
      <c r="D233" s="280"/>
      <c r="E233" s="2" t="s">
        <v>222</v>
      </c>
      <c r="F233" s="37">
        <v>2.5149599999999999</v>
      </c>
      <c r="G233" s="78">
        <v>0</v>
      </c>
      <c r="H233" s="37">
        <f t="shared" si="316"/>
        <v>0</v>
      </c>
      <c r="I233" s="37">
        <f t="shared" si="317"/>
        <v>0</v>
      </c>
      <c r="J233" s="37">
        <f t="shared" si="318"/>
        <v>0</v>
      </c>
      <c r="K233" s="79" t="s">
        <v>223</v>
      </c>
      <c r="Z233" s="37">
        <f t="shared" si="319"/>
        <v>0</v>
      </c>
      <c r="AB233" s="37">
        <f t="shared" si="320"/>
        <v>0</v>
      </c>
      <c r="AC233" s="37">
        <f t="shared" si="321"/>
        <v>0</v>
      </c>
      <c r="AD233" s="37">
        <f t="shared" si="322"/>
        <v>0</v>
      </c>
      <c r="AE233" s="37">
        <f t="shared" si="323"/>
        <v>0</v>
      </c>
      <c r="AF233" s="37">
        <f t="shared" si="324"/>
        <v>0</v>
      </c>
      <c r="AG233" s="37">
        <f t="shared" si="325"/>
        <v>0</v>
      </c>
      <c r="AH233" s="37">
        <f t="shared" si="326"/>
        <v>0</v>
      </c>
      <c r="AI233" s="49" t="s">
        <v>89</v>
      </c>
      <c r="AJ233" s="37">
        <f t="shared" si="327"/>
        <v>0</v>
      </c>
      <c r="AK233" s="37">
        <f t="shared" si="328"/>
        <v>0</v>
      </c>
      <c r="AL233" s="37">
        <f t="shared" si="329"/>
        <v>0</v>
      </c>
      <c r="AN233" s="37">
        <v>21</v>
      </c>
      <c r="AO233" s="37">
        <f>G233*0.999993793</f>
        <v>0</v>
      </c>
      <c r="AP233" s="37">
        <f>G233*(1-0.999993793)</f>
        <v>0</v>
      </c>
      <c r="AQ233" s="72" t="s">
        <v>243</v>
      </c>
      <c r="AV233" s="37">
        <f t="shared" si="330"/>
        <v>0</v>
      </c>
      <c r="AW233" s="37">
        <f t="shared" si="331"/>
        <v>0</v>
      </c>
      <c r="AX233" s="37">
        <f t="shared" si="332"/>
        <v>0</v>
      </c>
      <c r="AY233" s="72" t="s">
        <v>815</v>
      </c>
      <c r="AZ233" s="72" t="s">
        <v>816</v>
      </c>
      <c r="BA233" s="49" t="s">
        <v>226</v>
      </c>
      <c r="BC233" s="37">
        <f t="shared" si="333"/>
        <v>0</v>
      </c>
      <c r="BD233" s="37">
        <f t="shared" si="334"/>
        <v>0</v>
      </c>
      <c r="BE233" s="37">
        <v>0</v>
      </c>
      <c r="BF233" s="37">
        <f>233</f>
        <v>233</v>
      </c>
      <c r="BH233" s="37">
        <f t="shared" si="335"/>
        <v>0</v>
      </c>
      <c r="BI233" s="37">
        <f t="shared" si="336"/>
        <v>0</v>
      </c>
      <c r="BJ233" s="37">
        <f t="shared" si="337"/>
        <v>0</v>
      </c>
      <c r="BK233" s="37"/>
      <c r="BL233" s="37">
        <v>762</v>
      </c>
      <c r="BW233" s="37">
        <v>21</v>
      </c>
      <c r="BX233" s="3" t="s">
        <v>819</v>
      </c>
    </row>
    <row r="234" spans="1:76" x14ac:dyDescent="0.25">
      <c r="A234" s="1" t="s">
        <v>820</v>
      </c>
      <c r="B234" s="2" t="s">
        <v>821</v>
      </c>
      <c r="C234" s="279" t="s">
        <v>822</v>
      </c>
      <c r="D234" s="280"/>
      <c r="E234" s="2" t="s">
        <v>333</v>
      </c>
      <c r="F234" s="37">
        <v>7</v>
      </c>
      <c r="G234" s="78">
        <v>0</v>
      </c>
      <c r="H234" s="37">
        <f t="shared" si="316"/>
        <v>0</v>
      </c>
      <c r="I234" s="37">
        <f t="shared" si="317"/>
        <v>0</v>
      </c>
      <c r="J234" s="37">
        <f t="shared" si="318"/>
        <v>0</v>
      </c>
      <c r="K234" s="79" t="s">
        <v>334</v>
      </c>
      <c r="Z234" s="37">
        <f t="shared" si="319"/>
        <v>0</v>
      </c>
      <c r="AB234" s="37">
        <f t="shared" si="320"/>
        <v>0</v>
      </c>
      <c r="AC234" s="37">
        <f t="shared" si="321"/>
        <v>0</v>
      </c>
      <c r="AD234" s="37">
        <f t="shared" si="322"/>
        <v>0</v>
      </c>
      <c r="AE234" s="37">
        <f t="shared" si="323"/>
        <v>0</v>
      </c>
      <c r="AF234" s="37">
        <f t="shared" si="324"/>
        <v>0</v>
      </c>
      <c r="AG234" s="37">
        <f t="shared" si="325"/>
        <v>0</v>
      </c>
      <c r="AH234" s="37">
        <f t="shared" si="326"/>
        <v>0</v>
      </c>
      <c r="AI234" s="49" t="s">
        <v>89</v>
      </c>
      <c r="AJ234" s="37">
        <f t="shared" si="327"/>
        <v>0</v>
      </c>
      <c r="AK234" s="37">
        <f t="shared" si="328"/>
        <v>0</v>
      </c>
      <c r="AL234" s="37">
        <f t="shared" si="329"/>
        <v>0</v>
      </c>
      <c r="AN234" s="37">
        <v>21</v>
      </c>
      <c r="AO234" s="37">
        <f>G234*0.784413965</f>
        <v>0</v>
      </c>
      <c r="AP234" s="37">
        <f>G234*(1-0.784413965)</f>
        <v>0</v>
      </c>
      <c r="AQ234" s="72" t="s">
        <v>243</v>
      </c>
      <c r="AV234" s="37">
        <f t="shared" si="330"/>
        <v>0</v>
      </c>
      <c r="AW234" s="37">
        <f t="shared" si="331"/>
        <v>0</v>
      </c>
      <c r="AX234" s="37">
        <f t="shared" si="332"/>
        <v>0</v>
      </c>
      <c r="AY234" s="72" t="s">
        <v>815</v>
      </c>
      <c r="AZ234" s="72" t="s">
        <v>816</v>
      </c>
      <c r="BA234" s="49" t="s">
        <v>226</v>
      </c>
      <c r="BC234" s="37">
        <f t="shared" si="333"/>
        <v>0</v>
      </c>
      <c r="BD234" s="37">
        <f t="shared" si="334"/>
        <v>0</v>
      </c>
      <c r="BE234" s="37">
        <v>0</v>
      </c>
      <c r="BF234" s="37">
        <f>234</f>
        <v>234</v>
      </c>
      <c r="BH234" s="37">
        <f t="shared" si="335"/>
        <v>0</v>
      </c>
      <c r="BI234" s="37">
        <f t="shared" si="336"/>
        <v>0</v>
      </c>
      <c r="BJ234" s="37">
        <f t="shared" si="337"/>
        <v>0</v>
      </c>
      <c r="BK234" s="37"/>
      <c r="BL234" s="37">
        <v>762</v>
      </c>
      <c r="BW234" s="37">
        <v>21</v>
      </c>
      <c r="BX234" s="3" t="s">
        <v>822</v>
      </c>
    </row>
    <row r="235" spans="1:76" x14ac:dyDescent="0.25">
      <c r="A235" s="1" t="s">
        <v>823</v>
      </c>
      <c r="B235" s="2" t="s">
        <v>824</v>
      </c>
      <c r="C235" s="279" t="s">
        <v>825</v>
      </c>
      <c r="D235" s="280"/>
      <c r="E235" s="2" t="s">
        <v>222</v>
      </c>
      <c r="F235" s="37">
        <v>0.36399999999999999</v>
      </c>
      <c r="G235" s="78">
        <v>0</v>
      </c>
      <c r="H235" s="37">
        <f t="shared" si="316"/>
        <v>0</v>
      </c>
      <c r="I235" s="37">
        <f t="shared" si="317"/>
        <v>0</v>
      </c>
      <c r="J235" s="37">
        <f t="shared" si="318"/>
        <v>0</v>
      </c>
      <c r="K235" s="79" t="s">
        <v>223</v>
      </c>
      <c r="Z235" s="37">
        <f t="shared" si="319"/>
        <v>0</v>
      </c>
      <c r="AB235" s="37">
        <f t="shared" si="320"/>
        <v>0</v>
      </c>
      <c r="AC235" s="37">
        <f t="shared" si="321"/>
        <v>0</v>
      </c>
      <c r="AD235" s="37">
        <f t="shared" si="322"/>
        <v>0</v>
      </c>
      <c r="AE235" s="37">
        <f t="shared" si="323"/>
        <v>0</v>
      </c>
      <c r="AF235" s="37">
        <f t="shared" si="324"/>
        <v>0</v>
      </c>
      <c r="AG235" s="37">
        <f t="shared" si="325"/>
        <v>0</v>
      </c>
      <c r="AH235" s="37">
        <f t="shared" si="326"/>
        <v>0</v>
      </c>
      <c r="AI235" s="49" t="s">
        <v>89</v>
      </c>
      <c r="AJ235" s="37">
        <f t="shared" si="327"/>
        <v>0</v>
      </c>
      <c r="AK235" s="37">
        <f t="shared" si="328"/>
        <v>0</v>
      </c>
      <c r="AL235" s="37">
        <f t="shared" si="329"/>
        <v>0</v>
      </c>
      <c r="AN235" s="37">
        <v>21</v>
      </c>
      <c r="AO235" s="37">
        <f>G235*0.999950391</f>
        <v>0</v>
      </c>
      <c r="AP235" s="37">
        <f>G235*(1-0.999950391)</f>
        <v>0</v>
      </c>
      <c r="AQ235" s="72" t="s">
        <v>243</v>
      </c>
      <c r="AV235" s="37">
        <f t="shared" si="330"/>
        <v>0</v>
      </c>
      <c r="AW235" s="37">
        <f t="shared" si="331"/>
        <v>0</v>
      </c>
      <c r="AX235" s="37">
        <f t="shared" si="332"/>
        <v>0</v>
      </c>
      <c r="AY235" s="72" t="s">
        <v>815</v>
      </c>
      <c r="AZ235" s="72" t="s">
        <v>816</v>
      </c>
      <c r="BA235" s="49" t="s">
        <v>226</v>
      </c>
      <c r="BC235" s="37">
        <f t="shared" si="333"/>
        <v>0</v>
      </c>
      <c r="BD235" s="37">
        <f t="shared" si="334"/>
        <v>0</v>
      </c>
      <c r="BE235" s="37">
        <v>0</v>
      </c>
      <c r="BF235" s="37">
        <f>235</f>
        <v>235</v>
      </c>
      <c r="BH235" s="37">
        <f t="shared" si="335"/>
        <v>0</v>
      </c>
      <c r="BI235" s="37">
        <f t="shared" si="336"/>
        <v>0</v>
      </c>
      <c r="BJ235" s="37">
        <f t="shared" si="337"/>
        <v>0</v>
      </c>
      <c r="BK235" s="37"/>
      <c r="BL235" s="37">
        <v>762</v>
      </c>
      <c r="BW235" s="37">
        <v>21</v>
      </c>
      <c r="BX235" s="3" t="s">
        <v>825</v>
      </c>
    </row>
    <row r="236" spans="1:76" x14ac:dyDescent="0.25">
      <c r="A236" s="1" t="s">
        <v>826</v>
      </c>
      <c r="B236" s="2" t="s">
        <v>827</v>
      </c>
      <c r="C236" s="279" t="s">
        <v>828</v>
      </c>
      <c r="D236" s="280"/>
      <c r="E236" s="2" t="s">
        <v>222</v>
      </c>
      <c r="F236" s="37">
        <v>0.36399999999999999</v>
      </c>
      <c r="G236" s="78">
        <v>0</v>
      </c>
      <c r="H236" s="37">
        <f t="shared" si="316"/>
        <v>0</v>
      </c>
      <c r="I236" s="37">
        <f t="shared" si="317"/>
        <v>0</v>
      </c>
      <c r="J236" s="37">
        <f t="shared" si="318"/>
        <v>0</v>
      </c>
      <c r="K236" s="79" t="s">
        <v>236</v>
      </c>
      <c r="Z236" s="37">
        <f t="shared" si="319"/>
        <v>0</v>
      </c>
      <c r="AB236" s="37">
        <f t="shared" si="320"/>
        <v>0</v>
      </c>
      <c r="AC236" s="37">
        <f t="shared" si="321"/>
        <v>0</v>
      </c>
      <c r="AD236" s="37">
        <f t="shared" si="322"/>
        <v>0</v>
      </c>
      <c r="AE236" s="37">
        <f t="shared" si="323"/>
        <v>0</v>
      </c>
      <c r="AF236" s="37">
        <f t="shared" si="324"/>
        <v>0</v>
      </c>
      <c r="AG236" s="37">
        <f t="shared" si="325"/>
        <v>0</v>
      </c>
      <c r="AH236" s="37">
        <f t="shared" si="326"/>
        <v>0</v>
      </c>
      <c r="AI236" s="49" t="s">
        <v>89</v>
      </c>
      <c r="AJ236" s="37">
        <f t="shared" si="327"/>
        <v>0</v>
      </c>
      <c r="AK236" s="37">
        <f t="shared" si="328"/>
        <v>0</v>
      </c>
      <c r="AL236" s="37">
        <f t="shared" si="329"/>
        <v>0</v>
      </c>
      <c r="AN236" s="37">
        <v>21</v>
      </c>
      <c r="AO236" s="37">
        <f>G236*0.988431507</f>
        <v>0</v>
      </c>
      <c r="AP236" s="37">
        <f>G236*(1-0.988431507)</f>
        <v>0</v>
      </c>
      <c r="AQ236" s="72" t="s">
        <v>243</v>
      </c>
      <c r="AV236" s="37">
        <f t="shared" si="330"/>
        <v>0</v>
      </c>
      <c r="AW236" s="37">
        <f t="shared" si="331"/>
        <v>0</v>
      </c>
      <c r="AX236" s="37">
        <f t="shared" si="332"/>
        <v>0</v>
      </c>
      <c r="AY236" s="72" t="s">
        <v>815</v>
      </c>
      <c r="AZ236" s="72" t="s">
        <v>816</v>
      </c>
      <c r="BA236" s="49" t="s">
        <v>226</v>
      </c>
      <c r="BC236" s="37">
        <f t="shared" si="333"/>
        <v>0</v>
      </c>
      <c r="BD236" s="37">
        <f t="shared" si="334"/>
        <v>0</v>
      </c>
      <c r="BE236" s="37">
        <v>0</v>
      </c>
      <c r="BF236" s="37">
        <f>236</f>
        <v>236</v>
      </c>
      <c r="BH236" s="37">
        <f t="shared" si="335"/>
        <v>0</v>
      </c>
      <c r="BI236" s="37">
        <f t="shared" si="336"/>
        <v>0</v>
      </c>
      <c r="BJ236" s="37">
        <f t="shared" si="337"/>
        <v>0</v>
      </c>
      <c r="BK236" s="37"/>
      <c r="BL236" s="37">
        <v>762</v>
      </c>
      <c r="BW236" s="37">
        <v>21</v>
      </c>
      <c r="BX236" s="3" t="s">
        <v>828</v>
      </c>
    </row>
    <row r="237" spans="1:76" x14ac:dyDescent="0.25">
      <c r="A237" s="1" t="s">
        <v>829</v>
      </c>
      <c r="B237" s="2" t="s">
        <v>830</v>
      </c>
      <c r="C237" s="279" t="s">
        <v>831</v>
      </c>
      <c r="D237" s="280"/>
      <c r="E237" s="2" t="s">
        <v>63</v>
      </c>
      <c r="F237" s="37">
        <v>634.87300000000005</v>
      </c>
      <c r="G237" s="78">
        <v>0</v>
      </c>
      <c r="H237" s="37">
        <f t="shared" si="316"/>
        <v>0</v>
      </c>
      <c r="I237" s="37">
        <f t="shared" si="317"/>
        <v>0</v>
      </c>
      <c r="J237" s="37">
        <f t="shared" si="318"/>
        <v>0</v>
      </c>
      <c r="K237" s="79" t="s">
        <v>223</v>
      </c>
      <c r="Z237" s="37">
        <f t="shared" si="319"/>
        <v>0</v>
      </c>
      <c r="AB237" s="37">
        <f t="shared" si="320"/>
        <v>0</v>
      </c>
      <c r="AC237" s="37">
        <f t="shared" si="321"/>
        <v>0</v>
      </c>
      <c r="AD237" s="37">
        <f t="shared" si="322"/>
        <v>0</v>
      </c>
      <c r="AE237" s="37">
        <f t="shared" si="323"/>
        <v>0</v>
      </c>
      <c r="AF237" s="37">
        <f t="shared" si="324"/>
        <v>0</v>
      </c>
      <c r="AG237" s="37">
        <f t="shared" si="325"/>
        <v>0</v>
      </c>
      <c r="AH237" s="37">
        <f t="shared" si="326"/>
        <v>0</v>
      </c>
      <c r="AI237" s="49" t="s">
        <v>89</v>
      </c>
      <c r="AJ237" s="37">
        <f t="shared" si="327"/>
        <v>0</v>
      </c>
      <c r="AK237" s="37">
        <f t="shared" si="328"/>
        <v>0</v>
      </c>
      <c r="AL237" s="37">
        <f t="shared" si="329"/>
        <v>0</v>
      </c>
      <c r="AN237" s="37">
        <v>21</v>
      </c>
      <c r="AO237" s="37">
        <f>G237*0</f>
        <v>0</v>
      </c>
      <c r="AP237" s="37">
        <f>G237*(1-0)</f>
        <v>0</v>
      </c>
      <c r="AQ237" s="72" t="s">
        <v>237</v>
      </c>
      <c r="AV237" s="37">
        <f t="shared" si="330"/>
        <v>0</v>
      </c>
      <c r="AW237" s="37">
        <f t="shared" si="331"/>
        <v>0</v>
      </c>
      <c r="AX237" s="37">
        <f t="shared" si="332"/>
        <v>0</v>
      </c>
      <c r="AY237" s="72" t="s">
        <v>815</v>
      </c>
      <c r="AZ237" s="72" t="s">
        <v>816</v>
      </c>
      <c r="BA237" s="49" t="s">
        <v>226</v>
      </c>
      <c r="BC237" s="37">
        <f t="shared" si="333"/>
        <v>0</v>
      </c>
      <c r="BD237" s="37">
        <f t="shared" si="334"/>
        <v>0</v>
      </c>
      <c r="BE237" s="37">
        <v>0</v>
      </c>
      <c r="BF237" s="37">
        <f>237</f>
        <v>237</v>
      </c>
      <c r="BH237" s="37">
        <f t="shared" si="335"/>
        <v>0</v>
      </c>
      <c r="BI237" s="37">
        <f t="shared" si="336"/>
        <v>0</v>
      </c>
      <c r="BJ237" s="37">
        <f t="shared" si="337"/>
        <v>0</v>
      </c>
      <c r="BK237" s="37"/>
      <c r="BL237" s="37">
        <v>762</v>
      </c>
      <c r="BW237" s="37">
        <v>21</v>
      </c>
      <c r="BX237" s="3" t="s">
        <v>831</v>
      </c>
    </row>
    <row r="238" spans="1:76" x14ac:dyDescent="0.25">
      <c r="A238" s="80" t="s">
        <v>4</v>
      </c>
      <c r="B238" s="81" t="s">
        <v>145</v>
      </c>
      <c r="C238" s="365" t="s">
        <v>146</v>
      </c>
      <c r="D238" s="366"/>
      <c r="E238" s="82" t="s">
        <v>81</v>
      </c>
      <c r="F238" s="82" t="s">
        <v>81</v>
      </c>
      <c r="G238" s="83" t="s">
        <v>81</v>
      </c>
      <c r="H238" s="43">
        <f>SUM(H239:H256)</f>
        <v>0</v>
      </c>
      <c r="I238" s="43">
        <f>SUM(I239:I256)</f>
        <v>0</v>
      </c>
      <c r="J238" s="43">
        <f>SUM(J239:J256)</f>
        <v>0</v>
      </c>
      <c r="K238" s="84" t="s">
        <v>4</v>
      </c>
      <c r="AI238" s="49" t="s">
        <v>89</v>
      </c>
      <c r="AS238" s="43">
        <f>SUM(AJ239:AJ256)</f>
        <v>0</v>
      </c>
      <c r="AT238" s="43">
        <f>SUM(AK239:AK256)</f>
        <v>0</v>
      </c>
      <c r="AU238" s="43">
        <f>SUM(AL239:AL256)</f>
        <v>0</v>
      </c>
    </row>
    <row r="239" spans="1:76" ht="25.5" x14ac:dyDescent="0.25">
      <c r="A239" s="1" t="s">
        <v>832</v>
      </c>
      <c r="B239" s="2" t="s">
        <v>833</v>
      </c>
      <c r="C239" s="279" t="s">
        <v>834</v>
      </c>
      <c r="D239" s="280"/>
      <c r="E239" s="2" t="s">
        <v>333</v>
      </c>
      <c r="F239" s="37">
        <v>16.75</v>
      </c>
      <c r="G239" s="78">
        <v>0</v>
      </c>
      <c r="H239" s="37">
        <f t="shared" ref="H239:H256" si="338">F239*AO239</f>
        <v>0</v>
      </c>
      <c r="I239" s="37">
        <f t="shared" ref="I239:I256" si="339">F239*AP239</f>
        <v>0</v>
      </c>
      <c r="J239" s="37">
        <f t="shared" ref="J239:J256" si="340">F239*G239</f>
        <v>0</v>
      </c>
      <c r="K239" s="79" t="s">
        <v>223</v>
      </c>
      <c r="Z239" s="37">
        <f t="shared" ref="Z239:Z256" si="341">IF(AQ239="5",BJ239,0)</f>
        <v>0</v>
      </c>
      <c r="AB239" s="37">
        <f t="shared" ref="AB239:AB256" si="342">IF(AQ239="1",BH239,0)</f>
        <v>0</v>
      </c>
      <c r="AC239" s="37">
        <f t="shared" ref="AC239:AC256" si="343">IF(AQ239="1",BI239,0)</f>
        <v>0</v>
      </c>
      <c r="AD239" s="37">
        <f t="shared" ref="AD239:AD256" si="344">IF(AQ239="7",BH239,0)</f>
        <v>0</v>
      </c>
      <c r="AE239" s="37">
        <f t="shared" ref="AE239:AE256" si="345">IF(AQ239="7",BI239,0)</f>
        <v>0</v>
      </c>
      <c r="AF239" s="37">
        <f t="shared" ref="AF239:AF256" si="346">IF(AQ239="2",BH239,0)</f>
        <v>0</v>
      </c>
      <c r="AG239" s="37">
        <f t="shared" ref="AG239:AG256" si="347">IF(AQ239="2",BI239,0)</f>
        <v>0</v>
      </c>
      <c r="AH239" s="37">
        <f t="shared" ref="AH239:AH256" si="348">IF(AQ239="0",BJ239,0)</f>
        <v>0</v>
      </c>
      <c r="AI239" s="49" t="s">
        <v>89</v>
      </c>
      <c r="AJ239" s="37">
        <f t="shared" ref="AJ239:AJ256" si="349">IF(AN239=0,J239,0)</f>
        <v>0</v>
      </c>
      <c r="AK239" s="37">
        <f t="shared" ref="AK239:AK256" si="350">IF(AN239=12,J239,0)</f>
        <v>0</v>
      </c>
      <c r="AL239" s="37">
        <f t="shared" ref="AL239:AL256" si="351">IF(AN239=21,J239,0)</f>
        <v>0</v>
      </c>
      <c r="AN239" s="37">
        <v>21</v>
      </c>
      <c r="AO239" s="37">
        <f>G239*0.27349052</f>
        <v>0</v>
      </c>
      <c r="AP239" s="37">
        <f>G239*(1-0.27349052)</f>
        <v>0</v>
      </c>
      <c r="AQ239" s="72" t="s">
        <v>243</v>
      </c>
      <c r="AV239" s="37">
        <f t="shared" ref="AV239:AV256" si="352">AW239+AX239</f>
        <v>0</v>
      </c>
      <c r="AW239" s="37">
        <f t="shared" ref="AW239:AW256" si="353">F239*AO239</f>
        <v>0</v>
      </c>
      <c r="AX239" s="37">
        <f t="shared" ref="AX239:AX256" si="354">F239*AP239</f>
        <v>0</v>
      </c>
      <c r="AY239" s="72" t="s">
        <v>835</v>
      </c>
      <c r="AZ239" s="72" t="s">
        <v>816</v>
      </c>
      <c r="BA239" s="49" t="s">
        <v>226</v>
      </c>
      <c r="BC239" s="37">
        <f t="shared" ref="BC239:BC256" si="355">AW239+AX239</f>
        <v>0</v>
      </c>
      <c r="BD239" s="37">
        <f t="shared" ref="BD239:BD256" si="356">G239/(100-BE239)*100</f>
        <v>0</v>
      </c>
      <c r="BE239" s="37">
        <v>0</v>
      </c>
      <c r="BF239" s="37">
        <f>239</f>
        <v>239</v>
      </c>
      <c r="BH239" s="37">
        <f t="shared" ref="BH239:BH256" si="357">F239*AO239</f>
        <v>0</v>
      </c>
      <c r="BI239" s="37">
        <f t="shared" ref="BI239:BI256" si="358">F239*AP239</f>
        <v>0</v>
      </c>
      <c r="BJ239" s="37">
        <f t="shared" ref="BJ239:BJ256" si="359">F239*G239</f>
        <v>0</v>
      </c>
      <c r="BK239" s="37"/>
      <c r="BL239" s="37">
        <v>764</v>
      </c>
      <c r="BW239" s="37">
        <v>21</v>
      </c>
      <c r="BX239" s="3" t="s">
        <v>834</v>
      </c>
    </row>
    <row r="240" spans="1:76" x14ac:dyDescent="0.25">
      <c r="A240" s="1" t="s">
        <v>836</v>
      </c>
      <c r="B240" s="2" t="s">
        <v>837</v>
      </c>
      <c r="C240" s="279" t="s">
        <v>838</v>
      </c>
      <c r="D240" s="280"/>
      <c r="E240" s="2" t="s">
        <v>333</v>
      </c>
      <c r="F240" s="37">
        <v>12.2</v>
      </c>
      <c r="G240" s="78">
        <v>0</v>
      </c>
      <c r="H240" s="37">
        <f t="shared" si="338"/>
        <v>0</v>
      </c>
      <c r="I240" s="37">
        <f t="shared" si="339"/>
        <v>0</v>
      </c>
      <c r="J240" s="37">
        <f t="shared" si="340"/>
        <v>0</v>
      </c>
      <c r="K240" s="79" t="s">
        <v>223</v>
      </c>
      <c r="Z240" s="37">
        <f t="shared" si="341"/>
        <v>0</v>
      </c>
      <c r="AB240" s="37">
        <f t="shared" si="342"/>
        <v>0</v>
      </c>
      <c r="AC240" s="37">
        <f t="shared" si="343"/>
        <v>0</v>
      </c>
      <c r="AD240" s="37">
        <f t="shared" si="344"/>
        <v>0</v>
      </c>
      <c r="AE240" s="37">
        <f t="shared" si="345"/>
        <v>0</v>
      </c>
      <c r="AF240" s="37">
        <f t="shared" si="346"/>
        <v>0</v>
      </c>
      <c r="AG240" s="37">
        <f t="shared" si="347"/>
        <v>0</v>
      </c>
      <c r="AH240" s="37">
        <f t="shared" si="348"/>
        <v>0</v>
      </c>
      <c r="AI240" s="49" t="s">
        <v>89</v>
      </c>
      <c r="AJ240" s="37">
        <f t="shared" si="349"/>
        <v>0</v>
      </c>
      <c r="AK240" s="37">
        <f t="shared" si="350"/>
        <v>0</v>
      </c>
      <c r="AL240" s="37">
        <f t="shared" si="351"/>
        <v>0</v>
      </c>
      <c r="AN240" s="37">
        <v>21</v>
      </c>
      <c r="AO240" s="37">
        <f>G240*0.026612422</f>
        <v>0</v>
      </c>
      <c r="AP240" s="37">
        <f>G240*(1-0.026612422)</f>
        <v>0</v>
      </c>
      <c r="AQ240" s="72" t="s">
        <v>243</v>
      </c>
      <c r="AV240" s="37">
        <f t="shared" si="352"/>
        <v>0</v>
      </c>
      <c r="AW240" s="37">
        <f t="shared" si="353"/>
        <v>0</v>
      </c>
      <c r="AX240" s="37">
        <f t="shared" si="354"/>
        <v>0</v>
      </c>
      <c r="AY240" s="72" t="s">
        <v>835</v>
      </c>
      <c r="AZ240" s="72" t="s">
        <v>816</v>
      </c>
      <c r="BA240" s="49" t="s">
        <v>226</v>
      </c>
      <c r="BC240" s="37">
        <f t="shared" si="355"/>
        <v>0</v>
      </c>
      <c r="BD240" s="37">
        <f t="shared" si="356"/>
        <v>0</v>
      </c>
      <c r="BE240" s="37">
        <v>0</v>
      </c>
      <c r="BF240" s="37">
        <f>240</f>
        <v>240</v>
      </c>
      <c r="BH240" s="37">
        <f t="shared" si="357"/>
        <v>0</v>
      </c>
      <c r="BI240" s="37">
        <f t="shared" si="358"/>
        <v>0</v>
      </c>
      <c r="BJ240" s="37">
        <f t="shared" si="359"/>
        <v>0</v>
      </c>
      <c r="BK240" s="37"/>
      <c r="BL240" s="37">
        <v>764</v>
      </c>
      <c r="BW240" s="37">
        <v>21</v>
      </c>
      <c r="BX240" s="3" t="s">
        <v>838</v>
      </c>
    </row>
    <row r="241" spans="1:76" x14ac:dyDescent="0.25">
      <c r="A241" s="1" t="s">
        <v>839</v>
      </c>
      <c r="B241" s="2" t="s">
        <v>840</v>
      </c>
      <c r="C241" s="279" t="s">
        <v>841</v>
      </c>
      <c r="D241" s="280"/>
      <c r="E241" s="2" t="s">
        <v>333</v>
      </c>
      <c r="F241" s="37">
        <v>5.8</v>
      </c>
      <c r="G241" s="78">
        <v>0</v>
      </c>
      <c r="H241" s="37">
        <f t="shared" si="338"/>
        <v>0</v>
      </c>
      <c r="I241" s="37">
        <f t="shared" si="339"/>
        <v>0</v>
      </c>
      <c r="J241" s="37">
        <f t="shared" si="340"/>
        <v>0</v>
      </c>
      <c r="K241" s="79" t="s">
        <v>334</v>
      </c>
      <c r="Z241" s="37">
        <f t="shared" si="341"/>
        <v>0</v>
      </c>
      <c r="AB241" s="37">
        <f t="shared" si="342"/>
        <v>0</v>
      </c>
      <c r="AC241" s="37">
        <f t="shared" si="343"/>
        <v>0</v>
      </c>
      <c r="AD241" s="37">
        <f t="shared" si="344"/>
        <v>0</v>
      </c>
      <c r="AE241" s="37">
        <f t="shared" si="345"/>
        <v>0</v>
      </c>
      <c r="AF241" s="37">
        <f t="shared" si="346"/>
        <v>0</v>
      </c>
      <c r="AG241" s="37">
        <f t="shared" si="347"/>
        <v>0</v>
      </c>
      <c r="AH241" s="37">
        <f t="shared" si="348"/>
        <v>0</v>
      </c>
      <c r="AI241" s="49" t="s">
        <v>89</v>
      </c>
      <c r="AJ241" s="37">
        <f t="shared" si="349"/>
        <v>0</v>
      </c>
      <c r="AK241" s="37">
        <f t="shared" si="350"/>
        <v>0</v>
      </c>
      <c r="AL241" s="37">
        <f t="shared" si="351"/>
        <v>0</v>
      </c>
      <c r="AN241" s="37">
        <v>21</v>
      </c>
      <c r="AO241" s="37">
        <f>G241*0.028396947</f>
        <v>0</v>
      </c>
      <c r="AP241" s="37">
        <f>G241*(1-0.028396947)</f>
        <v>0</v>
      </c>
      <c r="AQ241" s="72" t="s">
        <v>243</v>
      </c>
      <c r="AV241" s="37">
        <f t="shared" si="352"/>
        <v>0</v>
      </c>
      <c r="AW241" s="37">
        <f t="shared" si="353"/>
        <v>0</v>
      </c>
      <c r="AX241" s="37">
        <f t="shared" si="354"/>
        <v>0</v>
      </c>
      <c r="AY241" s="72" t="s">
        <v>835</v>
      </c>
      <c r="AZ241" s="72" t="s">
        <v>816</v>
      </c>
      <c r="BA241" s="49" t="s">
        <v>226</v>
      </c>
      <c r="BC241" s="37">
        <f t="shared" si="355"/>
        <v>0</v>
      </c>
      <c r="BD241" s="37">
        <f t="shared" si="356"/>
        <v>0</v>
      </c>
      <c r="BE241" s="37">
        <v>0</v>
      </c>
      <c r="BF241" s="37">
        <f>241</f>
        <v>241</v>
      </c>
      <c r="BH241" s="37">
        <f t="shared" si="357"/>
        <v>0</v>
      </c>
      <c r="BI241" s="37">
        <f t="shared" si="358"/>
        <v>0</v>
      </c>
      <c r="BJ241" s="37">
        <f t="shared" si="359"/>
        <v>0</v>
      </c>
      <c r="BK241" s="37"/>
      <c r="BL241" s="37">
        <v>764</v>
      </c>
      <c r="BW241" s="37">
        <v>21</v>
      </c>
      <c r="BX241" s="3" t="s">
        <v>841</v>
      </c>
    </row>
    <row r="242" spans="1:76" x14ac:dyDescent="0.25">
      <c r="A242" s="1" t="s">
        <v>842</v>
      </c>
      <c r="B242" s="2" t="s">
        <v>843</v>
      </c>
      <c r="C242" s="279" t="s">
        <v>844</v>
      </c>
      <c r="D242" s="280"/>
      <c r="E242" s="2" t="s">
        <v>333</v>
      </c>
      <c r="F242" s="37">
        <v>17</v>
      </c>
      <c r="G242" s="78">
        <v>0</v>
      </c>
      <c r="H242" s="37">
        <f t="shared" si="338"/>
        <v>0</v>
      </c>
      <c r="I242" s="37">
        <f t="shared" si="339"/>
        <v>0</v>
      </c>
      <c r="J242" s="37">
        <f t="shared" si="340"/>
        <v>0</v>
      </c>
      <c r="K242" s="79" t="s">
        <v>223</v>
      </c>
      <c r="Z242" s="37">
        <f t="shared" si="341"/>
        <v>0</v>
      </c>
      <c r="AB242" s="37">
        <f t="shared" si="342"/>
        <v>0</v>
      </c>
      <c r="AC242" s="37">
        <f t="shared" si="343"/>
        <v>0</v>
      </c>
      <c r="AD242" s="37">
        <f t="shared" si="344"/>
        <v>0</v>
      </c>
      <c r="AE242" s="37">
        <f t="shared" si="345"/>
        <v>0</v>
      </c>
      <c r="AF242" s="37">
        <f t="shared" si="346"/>
        <v>0</v>
      </c>
      <c r="AG242" s="37">
        <f t="shared" si="347"/>
        <v>0</v>
      </c>
      <c r="AH242" s="37">
        <f t="shared" si="348"/>
        <v>0</v>
      </c>
      <c r="AI242" s="49" t="s">
        <v>89</v>
      </c>
      <c r="AJ242" s="37">
        <f t="shared" si="349"/>
        <v>0</v>
      </c>
      <c r="AK242" s="37">
        <f t="shared" si="350"/>
        <v>0</v>
      </c>
      <c r="AL242" s="37">
        <f t="shared" si="351"/>
        <v>0</v>
      </c>
      <c r="AN242" s="37">
        <v>21</v>
      </c>
      <c r="AO242" s="37">
        <f>G242*0.709874914</f>
        <v>0</v>
      </c>
      <c r="AP242" s="37">
        <f>G242*(1-0.709874914)</f>
        <v>0</v>
      </c>
      <c r="AQ242" s="72" t="s">
        <v>243</v>
      </c>
      <c r="AV242" s="37">
        <f t="shared" si="352"/>
        <v>0</v>
      </c>
      <c r="AW242" s="37">
        <f t="shared" si="353"/>
        <v>0</v>
      </c>
      <c r="AX242" s="37">
        <f t="shared" si="354"/>
        <v>0</v>
      </c>
      <c r="AY242" s="72" t="s">
        <v>835</v>
      </c>
      <c r="AZ242" s="72" t="s">
        <v>816</v>
      </c>
      <c r="BA242" s="49" t="s">
        <v>226</v>
      </c>
      <c r="BC242" s="37">
        <f t="shared" si="355"/>
        <v>0</v>
      </c>
      <c r="BD242" s="37">
        <f t="shared" si="356"/>
        <v>0</v>
      </c>
      <c r="BE242" s="37">
        <v>0</v>
      </c>
      <c r="BF242" s="37">
        <f>242</f>
        <v>242</v>
      </c>
      <c r="BH242" s="37">
        <f t="shared" si="357"/>
        <v>0</v>
      </c>
      <c r="BI242" s="37">
        <f t="shared" si="358"/>
        <v>0</v>
      </c>
      <c r="BJ242" s="37">
        <f t="shared" si="359"/>
        <v>0</v>
      </c>
      <c r="BK242" s="37"/>
      <c r="BL242" s="37">
        <v>764</v>
      </c>
      <c r="BW242" s="37">
        <v>21</v>
      </c>
      <c r="BX242" s="3" t="s">
        <v>844</v>
      </c>
    </row>
    <row r="243" spans="1:76" x14ac:dyDescent="0.25">
      <c r="A243" s="1" t="s">
        <v>845</v>
      </c>
      <c r="B243" s="2" t="s">
        <v>846</v>
      </c>
      <c r="C243" s="279" t="s">
        <v>847</v>
      </c>
      <c r="D243" s="280"/>
      <c r="E243" s="2" t="s">
        <v>329</v>
      </c>
      <c r="F243" s="37">
        <v>1</v>
      </c>
      <c r="G243" s="78">
        <v>0</v>
      </c>
      <c r="H243" s="37">
        <f t="shared" si="338"/>
        <v>0</v>
      </c>
      <c r="I243" s="37">
        <f t="shared" si="339"/>
        <v>0</v>
      </c>
      <c r="J243" s="37">
        <f t="shared" si="340"/>
        <v>0</v>
      </c>
      <c r="K243" s="79" t="s">
        <v>223</v>
      </c>
      <c r="Z243" s="37">
        <f t="shared" si="341"/>
        <v>0</v>
      </c>
      <c r="AB243" s="37">
        <f t="shared" si="342"/>
        <v>0</v>
      </c>
      <c r="AC243" s="37">
        <f t="shared" si="343"/>
        <v>0</v>
      </c>
      <c r="AD243" s="37">
        <f t="shared" si="344"/>
        <v>0</v>
      </c>
      <c r="AE243" s="37">
        <f t="shared" si="345"/>
        <v>0</v>
      </c>
      <c r="AF243" s="37">
        <f t="shared" si="346"/>
        <v>0</v>
      </c>
      <c r="AG243" s="37">
        <f t="shared" si="347"/>
        <v>0</v>
      </c>
      <c r="AH243" s="37">
        <f t="shared" si="348"/>
        <v>0</v>
      </c>
      <c r="AI243" s="49" t="s">
        <v>89</v>
      </c>
      <c r="AJ243" s="37">
        <f t="shared" si="349"/>
        <v>0</v>
      </c>
      <c r="AK243" s="37">
        <f t="shared" si="350"/>
        <v>0</v>
      </c>
      <c r="AL243" s="37">
        <f t="shared" si="351"/>
        <v>0</v>
      </c>
      <c r="AN243" s="37">
        <v>21</v>
      </c>
      <c r="AO243" s="37">
        <f>G243*0.585230999</f>
        <v>0</v>
      </c>
      <c r="AP243" s="37">
        <f>G243*(1-0.585230999)</f>
        <v>0</v>
      </c>
      <c r="AQ243" s="72" t="s">
        <v>243</v>
      </c>
      <c r="AV243" s="37">
        <f t="shared" si="352"/>
        <v>0</v>
      </c>
      <c r="AW243" s="37">
        <f t="shared" si="353"/>
        <v>0</v>
      </c>
      <c r="AX243" s="37">
        <f t="shared" si="354"/>
        <v>0</v>
      </c>
      <c r="AY243" s="72" t="s">
        <v>835</v>
      </c>
      <c r="AZ243" s="72" t="s">
        <v>816</v>
      </c>
      <c r="BA243" s="49" t="s">
        <v>226</v>
      </c>
      <c r="BC243" s="37">
        <f t="shared" si="355"/>
        <v>0</v>
      </c>
      <c r="BD243" s="37">
        <f t="shared" si="356"/>
        <v>0</v>
      </c>
      <c r="BE243" s="37">
        <v>0</v>
      </c>
      <c r="BF243" s="37">
        <f>243</f>
        <v>243</v>
      </c>
      <c r="BH243" s="37">
        <f t="shared" si="357"/>
        <v>0</v>
      </c>
      <c r="BI243" s="37">
        <f t="shared" si="358"/>
        <v>0</v>
      </c>
      <c r="BJ243" s="37">
        <f t="shared" si="359"/>
        <v>0</v>
      </c>
      <c r="BK243" s="37"/>
      <c r="BL243" s="37">
        <v>764</v>
      </c>
      <c r="BW243" s="37">
        <v>21</v>
      </c>
      <c r="BX243" s="3" t="s">
        <v>847</v>
      </c>
    </row>
    <row r="244" spans="1:76" x14ac:dyDescent="0.25">
      <c r="A244" s="1" t="s">
        <v>848</v>
      </c>
      <c r="B244" s="2" t="s">
        <v>849</v>
      </c>
      <c r="C244" s="279" t="s">
        <v>850</v>
      </c>
      <c r="D244" s="280"/>
      <c r="E244" s="2" t="s">
        <v>333</v>
      </c>
      <c r="F244" s="37">
        <v>4.8</v>
      </c>
      <c r="G244" s="78">
        <v>0</v>
      </c>
      <c r="H244" s="37">
        <f t="shared" si="338"/>
        <v>0</v>
      </c>
      <c r="I244" s="37">
        <f t="shared" si="339"/>
        <v>0</v>
      </c>
      <c r="J244" s="37">
        <f t="shared" si="340"/>
        <v>0</v>
      </c>
      <c r="K244" s="79" t="s">
        <v>223</v>
      </c>
      <c r="Z244" s="37">
        <f t="shared" si="341"/>
        <v>0</v>
      </c>
      <c r="AB244" s="37">
        <f t="shared" si="342"/>
        <v>0</v>
      </c>
      <c r="AC244" s="37">
        <f t="shared" si="343"/>
        <v>0</v>
      </c>
      <c r="AD244" s="37">
        <f t="shared" si="344"/>
        <v>0</v>
      </c>
      <c r="AE244" s="37">
        <f t="shared" si="345"/>
        <v>0</v>
      </c>
      <c r="AF244" s="37">
        <f t="shared" si="346"/>
        <v>0</v>
      </c>
      <c r="AG244" s="37">
        <f t="shared" si="347"/>
        <v>0</v>
      </c>
      <c r="AH244" s="37">
        <f t="shared" si="348"/>
        <v>0</v>
      </c>
      <c r="AI244" s="49" t="s">
        <v>89</v>
      </c>
      <c r="AJ244" s="37">
        <f t="shared" si="349"/>
        <v>0</v>
      </c>
      <c r="AK244" s="37">
        <f t="shared" si="350"/>
        <v>0</v>
      </c>
      <c r="AL244" s="37">
        <f t="shared" si="351"/>
        <v>0</v>
      </c>
      <c r="AN244" s="37">
        <v>21</v>
      </c>
      <c r="AO244" s="37">
        <f>G244*0.822661208</f>
        <v>0</v>
      </c>
      <c r="AP244" s="37">
        <f>G244*(1-0.822661208)</f>
        <v>0</v>
      </c>
      <c r="AQ244" s="72" t="s">
        <v>243</v>
      </c>
      <c r="AV244" s="37">
        <f t="shared" si="352"/>
        <v>0</v>
      </c>
      <c r="AW244" s="37">
        <f t="shared" si="353"/>
        <v>0</v>
      </c>
      <c r="AX244" s="37">
        <f t="shared" si="354"/>
        <v>0</v>
      </c>
      <c r="AY244" s="72" t="s">
        <v>835</v>
      </c>
      <c r="AZ244" s="72" t="s">
        <v>816</v>
      </c>
      <c r="BA244" s="49" t="s">
        <v>226</v>
      </c>
      <c r="BC244" s="37">
        <f t="shared" si="355"/>
        <v>0</v>
      </c>
      <c r="BD244" s="37">
        <f t="shared" si="356"/>
        <v>0</v>
      </c>
      <c r="BE244" s="37">
        <v>0</v>
      </c>
      <c r="BF244" s="37">
        <f>244</f>
        <v>244</v>
      </c>
      <c r="BH244" s="37">
        <f t="shared" si="357"/>
        <v>0</v>
      </c>
      <c r="BI244" s="37">
        <f t="shared" si="358"/>
        <v>0</v>
      </c>
      <c r="BJ244" s="37">
        <f t="shared" si="359"/>
        <v>0</v>
      </c>
      <c r="BK244" s="37"/>
      <c r="BL244" s="37">
        <v>764</v>
      </c>
      <c r="BW244" s="37">
        <v>21</v>
      </c>
      <c r="BX244" s="3" t="s">
        <v>850</v>
      </c>
    </row>
    <row r="245" spans="1:76" x14ac:dyDescent="0.25">
      <c r="A245" s="1" t="s">
        <v>851</v>
      </c>
      <c r="B245" s="2" t="s">
        <v>852</v>
      </c>
      <c r="C245" s="279" t="s">
        <v>853</v>
      </c>
      <c r="D245" s="280"/>
      <c r="E245" s="2" t="s">
        <v>333</v>
      </c>
      <c r="F245" s="37">
        <v>6.3</v>
      </c>
      <c r="G245" s="78">
        <v>0</v>
      </c>
      <c r="H245" s="37">
        <f t="shared" si="338"/>
        <v>0</v>
      </c>
      <c r="I245" s="37">
        <f t="shared" si="339"/>
        <v>0</v>
      </c>
      <c r="J245" s="37">
        <f t="shared" si="340"/>
        <v>0</v>
      </c>
      <c r="K245" s="79" t="s">
        <v>223</v>
      </c>
      <c r="Z245" s="37">
        <f t="shared" si="341"/>
        <v>0</v>
      </c>
      <c r="AB245" s="37">
        <f t="shared" si="342"/>
        <v>0</v>
      </c>
      <c r="AC245" s="37">
        <f t="shared" si="343"/>
        <v>0</v>
      </c>
      <c r="AD245" s="37">
        <f t="shared" si="344"/>
        <v>0</v>
      </c>
      <c r="AE245" s="37">
        <f t="shared" si="345"/>
        <v>0</v>
      </c>
      <c r="AF245" s="37">
        <f t="shared" si="346"/>
        <v>0</v>
      </c>
      <c r="AG245" s="37">
        <f t="shared" si="347"/>
        <v>0</v>
      </c>
      <c r="AH245" s="37">
        <f t="shared" si="348"/>
        <v>0</v>
      </c>
      <c r="AI245" s="49" t="s">
        <v>89</v>
      </c>
      <c r="AJ245" s="37">
        <f t="shared" si="349"/>
        <v>0</v>
      </c>
      <c r="AK245" s="37">
        <f t="shared" si="350"/>
        <v>0</v>
      </c>
      <c r="AL245" s="37">
        <f t="shared" si="351"/>
        <v>0</v>
      </c>
      <c r="AN245" s="37">
        <v>21</v>
      </c>
      <c r="AO245" s="37">
        <f>G245*0.827548424</f>
        <v>0</v>
      </c>
      <c r="AP245" s="37">
        <f>G245*(1-0.827548424)</f>
        <v>0</v>
      </c>
      <c r="AQ245" s="72" t="s">
        <v>243</v>
      </c>
      <c r="AV245" s="37">
        <f t="shared" si="352"/>
        <v>0</v>
      </c>
      <c r="AW245" s="37">
        <f t="shared" si="353"/>
        <v>0</v>
      </c>
      <c r="AX245" s="37">
        <f t="shared" si="354"/>
        <v>0</v>
      </c>
      <c r="AY245" s="72" t="s">
        <v>835</v>
      </c>
      <c r="AZ245" s="72" t="s">
        <v>816</v>
      </c>
      <c r="BA245" s="49" t="s">
        <v>226</v>
      </c>
      <c r="BC245" s="37">
        <f t="shared" si="355"/>
        <v>0</v>
      </c>
      <c r="BD245" s="37">
        <f t="shared" si="356"/>
        <v>0</v>
      </c>
      <c r="BE245" s="37">
        <v>0</v>
      </c>
      <c r="BF245" s="37">
        <f>245</f>
        <v>245</v>
      </c>
      <c r="BH245" s="37">
        <f t="shared" si="357"/>
        <v>0</v>
      </c>
      <c r="BI245" s="37">
        <f t="shared" si="358"/>
        <v>0</v>
      </c>
      <c r="BJ245" s="37">
        <f t="shared" si="359"/>
        <v>0</v>
      </c>
      <c r="BK245" s="37"/>
      <c r="BL245" s="37">
        <v>764</v>
      </c>
      <c r="BW245" s="37">
        <v>21</v>
      </c>
      <c r="BX245" s="3" t="s">
        <v>853</v>
      </c>
    </row>
    <row r="246" spans="1:76" x14ac:dyDescent="0.25">
      <c r="A246" s="1" t="s">
        <v>854</v>
      </c>
      <c r="B246" s="2" t="s">
        <v>855</v>
      </c>
      <c r="C246" s="279" t="s">
        <v>856</v>
      </c>
      <c r="D246" s="280"/>
      <c r="E246" s="2" t="s">
        <v>329</v>
      </c>
      <c r="F246" s="37">
        <v>8</v>
      </c>
      <c r="G246" s="78">
        <v>0</v>
      </c>
      <c r="H246" s="37">
        <f t="shared" si="338"/>
        <v>0</v>
      </c>
      <c r="I246" s="37">
        <f t="shared" si="339"/>
        <v>0</v>
      </c>
      <c r="J246" s="37">
        <f t="shared" si="340"/>
        <v>0</v>
      </c>
      <c r="K246" s="79" t="s">
        <v>223</v>
      </c>
      <c r="Z246" s="37">
        <f t="shared" si="341"/>
        <v>0</v>
      </c>
      <c r="AB246" s="37">
        <f t="shared" si="342"/>
        <v>0</v>
      </c>
      <c r="AC246" s="37">
        <f t="shared" si="343"/>
        <v>0</v>
      </c>
      <c r="AD246" s="37">
        <f t="shared" si="344"/>
        <v>0</v>
      </c>
      <c r="AE246" s="37">
        <f t="shared" si="345"/>
        <v>0</v>
      </c>
      <c r="AF246" s="37">
        <f t="shared" si="346"/>
        <v>0</v>
      </c>
      <c r="AG246" s="37">
        <f t="shared" si="347"/>
        <v>0</v>
      </c>
      <c r="AH246" s="37">
        <f t="shared" si="348"/>
        <v>0</v>
      </c>
      <c r="AI246" s="49" t="s">
        <v>89</v>
      </c>
      <c r="AJ246" s="37">
        <f t="shared" si="349"/>
        <v>0</v>
      </c>
      <c r="AK246" s="37">
        <f t="shared" si="350"/>
        <v>0</v>
      </c>
      <c r="AL246" s="37">
        <f t="shared" si="351"/>
        <v>0</v>
      </c>
      <c r="AN246" s="37">
        <v>21</v>
      </c>
      <c r="AO246" s="37">
        <f>G246*0.241142857</f>
        <v>0</v>
      </c>
      <c r="AP246" s="37">
        <f>G246*(1-0.241142857)</f>
        <v>0</v>
      </c>
      <c r="AQ246" s="72" t="s">
        <v>243</v>
      </c>
      <c r="AV246" s="37">
        <f t="shared" si="352"/>
        <v>0</v>
      </c>
      <c r="AW246" s="37">
        <f t="shared" si="353"/>
        <v>0</v>
      </c>
      <c r="AX246" s="37">
        <f t="shared" si="354"/>
        <v>0</v>
      </c>
      <c r="AY246" s="72" t="s">
        <v>835</v>
      </c>
      <c r="AZ246" s="72" t="s">
        <v>816</v>
      </c>
      <c r="BA246" s="49" t="s">
        <v>226</v>
      </c>
      <c r="BC246" s="37">
        <f t="shared" si="355"/>
        <v>0</v>
      </c>
      <c r="BD246" s="37">
        <f t="shared" si="356"/>
        <v>0</v>
      </c>
      <c r="BE246" s="37">
        <v>0</v>
      </c>
      <c r="BF246" s="37">
        <f>246</f>
        <v>246</v>
      </c>
      <c r="BH246" s="37">
        <f t="shared" si="357"/>
        <v>0</v>
      </c>
      <c r="BI246" s="37">
        <f t="shared" si="358"/>
        <v>0</v>
      </c>
      <c r="BJ246" s="37">
        <f t="shared" si="359"/>
        <v>0</v>
      </c>
      <c r="BK246" s="37"/>
      <c r="BL246" s="37">
        <v>764</v>
      </c>
      <c r="BW246" s="37">
        <v>21</v>
      </c>
      <c r="BX246" s="3" t="s">
        <v>856</v>
      </c>
    </row>
    <row r="247" spans="1:76" x14ac:dyDescent="0.25">
      <c r="A247" s="1" t="s">
        <v>857</v>
      </c>
      <c r="B247" s="2" t="s">
        <v>858</v>
      </c>
      <c r="C247" s="279" t="s">
        <v>859</v>
      </c>
      <c r="D247" s="280"/>
      <c r="E247" s="2" t="s">
        <v>329</v>
      </c>
      <c r="F247" s="37">
        <v>2</v>
      </c>
      <c r="G247" s="78">
        <v>0</v>
      </c>
      <c r="H247" s="37">
        <f t="shared" si="338"/>
        <v>0</v>
      </c>
      <c r="I247" s="37">
        <f t="shared" si="339"/>
        <v>0</v>
      </c>
      <c r="J247" s="37">
        <f t="shared" si="340"/>
        <v>0</v>
      </c>
      <c r="K247" s="79" t="s">
        <v>334</v>
      </c>
      <c r="Z247" s="37">
        <f t="shared" si="341"/>
        <v>0</v>
      </c>
      <c r="AB247" s="37">
        <f t="shared" si="342"/>
        <v>0</v>
      </c>
      <c r="AC247" s="37">
        <f t="shared" si="343"/>
        <v>0</v>
      </c>
      <c r="AD247" s="37">
        <f t="shared" si="344"/>
        <v>0</v>
      </c>
      <c r="AE247" s="37">
        <f t="shared" si="345"/>
        <v>0</v>
      </c>
      <c r="AF247" s="37">
        <f t="shared" si="346"/>
        <v>0</v>
      </c>
      <c r="AG247" s="37">
        <f t="shared" si="347"/>
        <v>0</v>
      </c>
      <c r="AH247" s="37">
        <f t="shared" si="348"/>
        <v>0</v>
      </c>
      <c r="AI247" s="49" t="s">
        <v>89</v>
      </c>
      <c r="AJ247" s="37">
        <f t="shared" si="349"/>
        <v>0</v>
      </c>
      <c r="AK247" s="37">
        <f t="shared" si="350"/>
        <v>0</v>
      </c>
      <c r="AL247" s="37">
        <f t="shared" si="351"/>
        <v>0</v>
      </c>
      <c r="AN247" s="37">
        <v>21</v>
      </c>
      <c r="AO247" s="37">
        <f>G247*1</f>
        <v>0</v>
      </c>
      <c r="AP247" s="37">
        <f>G247*(1-1)</f>
        <v>0</v>
      </c>
      <c r="AQ247" s="72" t="s">
        <v>243</v>
      </c>
      <c r="AV247" s="37">
        <f t="shared" si="352"/>
        <v>0</v>
      </c>
      <c r="AW247" s="37">
        <f t="shared" si="353"/>
        <v>0</v>
      </c>
      <c r="AX247" s="37">
        <f t="shared" si="354"/>
        <v>0</v>
      </c>
      <c r="AY247" s="72" t="s">
        <v>835</v>
      </c>
      <c r="AZ247" s="72" t="s">
        <v>816</v>
      </c>
      <c r="BA247" s="49" t="s">
        <v>226</v>
      </c>
      <c r="BC247" s="37">
        <f t="shared" si="355"/>
        <v>0</v>
      </c>
      <c r="BD247" s="37">
        <f t="shared" si="356"/>
        <v>0</v>
      </c>
      <c r="BE247" s="37">
        <v>0</v>
      </c>
      <c r="BF247" s="37">
        <f>247</f>
        <v>247</v>
      </c>
      <c r="BH247" s="37">
        <f t="shared" si="357"/>
        <v>0</v>
      </c>
      <c r="BI247" s="37">
        <f t="shared" si="358"/>
        <v>0</v>
      </c>
      <c r="BJ247" s="37">
        <f t="shared" si="359"/>
        <v>0</v>
      </c>
      <c r="BK247" s="37"/>
      <c r="BL247" s="37">
        <v>764</v>
      </c>
      <c r="BW247" s="37">
        <v>21</v>
      </c>
      <c r="BX247" s="3" t="s">
        <v>859</v>
      </c>
    </row>
    <row r="248" spans="1:76" x14ac:dyDescent="0.25">
      <c r="A248" s="1" t="s">
        <v>860</v>
      </c>
      <c r="B248" s="2" t="s">
        <v>861</v>
      </c>
      <c r="C248" s="279" t="s">
        <v>862</v>
      </c>
      <c r="D248" s="280"/>
      <c r="E248" s="2" t="s">
        <v>329</v>
      </c>
      <c r="F248" s="37">
        <v>6</v>
      </c>
      <c r="G248" s="78">
        <v>0</v>
      </c>
      <c r="H248" s="37">
        <f t="shared" si="338"/>
        <v>0</v>
      </c>
      <c r="I248" s="37">
        <f t="shared" si="339"/>
        <v>0</v>
      </c>
      <c r="J248" s="37">
        <f t="shared" si="340"/>
        <v>0</v>
      </c>
      <c r="K248" s="79" t="s">
        <v>334</v>
      </c>
      <c r="Z248" s="37">
        <f t="shared" si="341"/>
        <v>0</v>
      </c>
      <c r="AB248" s="37">
        <f t="shared" si="342"/>
        <v>0</v>
      </c>
      <c r="AC248" s="37">
        <f t="shared" si="343"/>
        <v>0</v>
      </c>
      <c r="AD248" s="37">
        <f t="shared" si="344"/>
        <v>0</v>
      </c>
      <c r="AE248" s="37">
        <f t="shared" si="345"/>
        <v>0</v>
      </c>
      <c r="AF248" s="37">
        <f t="shared" si="346"/>
        <v>0</v>
      </c>
      <c r="AG248" s="37">
        <f t="shared" si="347"/>
        <v>0</v>
      </c>
      <c r="AH248" s="37">
        <f t="shared" si="348"/>
        <v>0</v>
      </c>
      <c r="AI248" s="49" t="s">
        <v>89</v>
      </c>
      <c r="AJ248" s="37">
        <f t="shared" si="349"/>
        <v>0</v>
      </c>
      <c r="AK248" s="37">
        <f t="shared" si="350"/>
        <v>0</v>
      </c>
      <c r="AL248" s="37">
        <f t="shared" si="351"/>
        <v>0</v>
      </c>
      <c r="AN248" s="37">
        <v>21</v>
      </c>
      <c r="AO248" s="37">
        <f>G248*1</f>
        <v>0</v>
      </c>
      <c r="AP248" s="37">
        <f>G248*(1-1)</f>
        <v>0</v>
      </c>
      <c r="AQ248" s="72" t="s">
        <v>243</v>
      </c>
      <c r="AV248" s="37">
        <f t="shared" si="352"/>
        <v>0</v>
      </c>
      <c r="AW248" s="37">
        <f t="shared" si="353"/>
        <v>0</v>
      </c>
      <c r="AX248" s="37">
        <f t="shared" si="354"/>
        <v>0</v>
      </c>
      <c r="AY248" s="72" t="s">
        <v>835</v>
      </c>
      <c r="AZ248" s="72" t="s">
        <v>816</v>
      </c>
      <c r="BA248" s="49" t="s">
        <v>226</v>
      </c>
      <c r="BC248" s="37">
        <f t="shared" si="355"/>
        <v>0</v>
      </c>
      <c r="BD248" s="37">
        <f t="shared" si="356"/>
        <v>0</v>
      </c>
      <c r="BE248" s="37">
        <v>0</v>
      </c>
      <c r="BF248" s="37">
        <f>248</f>
        <v>248</v>
      </c>
      <c r="BH248" s="37">
        <f t="shared" si="357"/>
        <v>0</v>
      </c>
      <c r="BI248" s="37">
        <f t="shared" si="358"/>
        <v>0</v>
      </c>
      <c r="BJ248" s="37">
        <f t="shared" si="359"/>
        <v>0</v>
      </c>
      <c r="BK248" s="37"/>
      <c r="BL248" s="37">
        <v>764</v>
      </c>
      <c r="BW248" s="37">
        <v>21</v>
      </c>
      <c r="BX248" s="3" t="s">
        <v>862</v>
      </c>
    </row>
    <row r="249" spans="1:76" x14ac:dyDescent="0.25">
      <c r="A249" s="1" t="s">
        <v>863</v>
      </c>
      <c r="B249" s="2" t="s">
        <v>864</v>
      </c>
      <c r="C249" s="279" t="s">
        <v>865</v>
      </c>
      <c r="D249" s="280"/>
      <c r="E249" s="2" t="s">
        <v>329</v>
      </c>
      <c r="F249" s="37">
        <v>24</v>
      </c>
      <c r="G249" s="78">
        <v>0</v>
      </c>
      <c r="H249" s="37">
        <f t="shared" si="338"/>
        <v>0</v>
      </c>
      <c r="I249" s="37">
        <f t="shared" si="339"/>
        <v>0</v>
      </c>
      <c r="J249" s="37">
        <f t="shared" si="340"/>
        <v>0</v>
      </c>
      <c r="K249" s="79" t="s">
        <v>223</v>
      </c>
      <c r="Z249" s="37">
        <f t="shared" si="341"/>
        <v>0</v>
      </c>
      <c r="AB249" s="37">
        <f t="shared" si="342"/>
        <v>0</v>
      </c>
      <c r="AC249" s="37">
        <f t="shared" si="343"/>
        <v>0</v>
      </c>
      <c r="AD249" s="37">
        <f t="shared" si="344"/>
        <v>0</v>
      </c>
      <c r="AE249" s="37">
        <f t="shared" si="345"/>
        <v>0</v>
      </c>
      <c r="AF249" s="37">
        <f t="shared" si="346"/>
        <v>0</v>
      </c>
      <c r="AG249" s="37">
        <f t="shared" si="347"/>
        <v>0</v>
      </c>
      <c r="AH249" s="37">
        <f t="shared" si="348"/>
        <v>0</v>
      </c>
      <c r="AI249" s="49" t="s">
        <v>89</v>
      </c>
      <c r="AJ249" s="37">
        <f t="shared" si="349"/>
        <v>0</v>
      </c>
      <c r="AK249" s="37">
        <f t="shared" si="350"/>
        <v>0</v>
      </c>
      <c r="AL249" s="37">
        <f t="shared" si="351"/>
        <v>0</v>
      </c>
      <c r="AN249" s="37">
        <v>21</v>
      </c>
      <c r="AO249" s="37">
        <f>G249*0.056122449</f>
        <v>0</v>
      </c>
      <c r="AP249" s="37">
        <f>G249*(1-0.056122449)</f>
        <v>0</v>
      </c>
      <c r="AQ249" s="72" t="s">
        <v>243</v>
      </c>
      <c r="AV249" s="37">
        <f t="shared" si="352"/>
        <v>0</v>
      </c>
      <c r="AW249" s="37">
        <f t="shared" si="353"/>
        <v>0</v>
      </c>
      <c r="AX249" s="37">
        <f t="shared" si="354"/>
        <v>0</v>
      </c>
      <c r="AY249" s="72" t="s">
        <v>835</v>
      </c>
      <c r="AZ249" s="72" t="s">
        <v>816</v>
      </c>
      <c r="BA249" s="49" t="s">
        <v>226</v>
      </c>
      <c r="BC249" s="37">
        <f t="shared" si="355"/>
        <v>0</v>
      </c>
      <c r="BD249" s="37">
        <f t="shared" si="356"/>
        <v>0</v>
      </c>
      <c r="BE249" s="37">
        <v>0</v>
      </c>
      <c r="BF249" s="37">
        <f>249</f>
        <v>249</v>
      </c>
      <c r="BH249" s="37">
        <f t="shared" si="357"/>
        <v>0</v>
      </c>
      <c r="BI249" s="37">
        <f t="shared" si="358"/>
        <v>0</v>
      </c>
      <c r="BJ249" s="37">
        <f t="shared" si="359"/>
        <v>0</v>
      </c>
      <c r="BK249" s="37"/>
      <c r="BL249" s="37">
        <v>764</v>
      </c>
      <c r="BW249" s="37">
        <v>21</v>
      </c>
      <c r="BX249" s="3" t="s">
        <v>865</v>
      </c>
    </row>
    <row r="250" spans="1:76" x14ac:dyDescent="0.25">
      <c r="A250" s="1" t="s">
        <v>866</v>
      </c>
      <c r="B250" s="2" t="s">
        <v>867</v>
      </c>
      <c r="C250" s="279" t="s">
        <v>868</v>
      </c>
      <c r="D250" s="280"/>
      <c r="E250" s="2" t="s">
        <v>329</v>
      </c>
      <c r="F250" s="37">
        <v>7</v>
      </c>
      <c r="G250" s="78">
        <v>0</v>
      </c>
      <c r="H250" s="37">
        <f t="shared" si="338"/>
        <v>0</v>
      </c>
      <c r="I250" s="37">
        <f t="shared" si="339"/>
        <v>0</v>
      </c>
      <c r="J250" s="37">
        <f t="shared" si="340"/>
        <v>0</v>
      </c>
      <c r="K250" s="79" t="s">
        <v>334</v>
      </c>
      <c r="Z250" s="37">
        <f t="shared" si="341"/>
        <v>0</v>
      </c>
      <c r="AB250" s="37">
        <f t="shared" si="342"/>
        <v>0</v>
      </c>
      <c r="AC250" s="37">
        <f t="shared" si="343"/>
        <v>0</v>
      </c>
      <c r="AD250" s="37">
        <f t="shared" si="344"/>
        <v>0</v>
      </c>
      <c r="AE250" s="37">
        <f t="shared" si="345"/>
        <v>0</v>
      </c>
      <c r="AF250" s="37">
        <f t="shared" si="346"/>
        <v>0</v>
      </c>
      <c r="AG250" s="37">
        <f t="shared" si="347"/>
        <v>0</v>
      </c>
      <c r="AH250" s="37">
        <f t="shared" si="348"/>
        <v>0</v>
      </c>
      <c r="AI250" s="49" t="s">
        <v>89</v>
      </c>
      <c r="AJ250" s="37">
        <f t="shared" si="349"/>
        <v>0</v>
      </c>
      <c r="AK250" s="37">
        <f t="shared" si="350"/>
        <v>0</v>
      </c>
      <c r="AL250" s="37">
        <f t="shared" si="351"/>
        <v>0</v>
      </c>
      <c r="AN250" s="37">
        <v>21</v>
      </c>
      <c r="AO250" s="37">
        <f>G250*1</f>
        <v>0</v>
      </c>
      <c r="AP250" s="37">
        <f>G250*(1-1)</f>
        <v>0</v>
      </c>
      <c r="AQ250" s="72" t="s">
        <v>243</v>
      </c>
      <c r="AV250" s="37">
        <f t="shared" si="352"/>
        <v>0</v>
      </c>
      <c r="AW250" s="37">
        <f t="shared" si="353"/>
        <v>0</v>
      </c>
      <c r="AX250" s="37">
        <f t="shared" si="354"/>
        <v>0</v>
      </c>
      <c r="AY250" s="72" t="s">
        <v>835</v>
      </c>
      <c r="AZ250" s="72" t="s">
        <v>816</v>
      </c>
      <c r="BA250" s="49" t="s">
        <v>226</v>
      </c>
      <c r="BC250" s="37">
        <f t="shared" si="355"/>
        <v>0</v>
      </c>
      <c r="BD250" s="37">
        <f t="shared" si="356"/>
        <v>0</v>
      </c>
      <c r="BE250" s="37">
        <v>0</v>
      </c>
      <c r="BF250" s="37">
        <f>250</f>
        <v>250</v>
      </c>
      <c r="BH250" s="37">
        <f t="shared" si="357"/>
        <v>0</v>
      </c>
      <c r="BI250" s="37">
        <f t="shared" si="358"/>
        <v>0</v>
      </c>
      <c r="BJ250" s="37">
        <f t="shared" si="359"/>
        <v>0</v>
      </c>
      <c r="BK250" s="37"/>
      <c r="BL250" s="37">
        <v>764</v>
      </c>
      <c r="BW250" s="37">
        <v>21</v>
      </c>
      <c r="BX250" s="3" t="s">
        <v>868</v>
      </c>
    </row>
    <row r="251" spans="1:76" x14ac:dyDescent="0.25">
      <c r="A251" s="1" t="s">
        <v>869</v>
      </c>
      <c r="B251" s="2" t="s">
        <v>870</v>
      </c>
      <c r="C251" s="279" t="s">
        <v>871</v>
      </c>
      <c r="D251" s="280"/>
      <c r="E251" s="2" t="s">
        <v>329</v>
      </c>
      <c r="F251" s="37">
        <v>6</v>
      </c>
      <c r="G251" s="78">
        <v>0</v>
      </c>
      <c r="H251" s="37">
        <f t="shared" si="338"/>
        <v>0</v>
      </c>
      <c r="I251" s="37">
        <f t="shared" si="339"/>
        <v>0</v>
      </c>
      <c r="J251" s="37">
        <f t="shared" si="340"/>
        <v>0</v>
      </c>
      <c r="K251" s="79" t="s">
        <v>334</v>
      </c>
      <c r="Z251" s="37">
        <f t="shared" si="341"/>
        <v>0</v>
      </c>
      <c r="AB251" s="37">
        <f t="shared" si="342"/>
        <v>0</v>
      </c>
      <c r="AC251" s="37">
        <f t="shared" si="343"/>
        <v>0</v>
      </c>
      <c r="AD251" s="37">
        <f t="shared" si="344"/>
        <v>0</v>
      </c>
      <c r="AE251" s="37">
        <f t="shared" si="345"/>
        <v>0</v>
      </c>
      <c r="AF251" s="37">
        <f t="shared" si="346"/>
        <v>0</v>
      </c>
      <c r="AG251" s="37">
        <f t="shared" si="347"/>
        <v>0</v>
      </c>
      <c r="AH251" s="37">
        <f t="shared" si="348"/>
        <v>0</v>
      </c>
      <c r="AI251" s="49" t="s">
        <v>89</v>
      </c>
      <c r="AJ251" s="37">
        <f t="shared" si="349"/>
        <v>0</v>
      </c>
      <c r="AK251" s="37">
        <f t="shared" si="350"/>
        <v>0</v>
      </c>
      <c r="AL251" s="37">
        <f t="shared" si="351"/>
        <v>0</v>
      </c>
      <c r="AN251" s="37">
        <v>21</v>
      </c>
      <c r="AO251" s="37">
        <f>G251*1</f>
        <v>0</v>
      </c>
      <c r="AP251" s="37">
        <f>G251*(1-1)</f>
        <v>0</v>
      </c>
      <c r="AQ251" s="72" t="s">
        <v>243</v>
      </c>
      <c r="AV251" s="37">
        <f t="shared" si="352"/>
        <v>0</v>
      </c>
      <c r="AW251" s="37">
        <f t="shared" si="353"/>
        <v>0</v>
      </c>
      <c r="AX251" s="37">
        <f t="shared" si="354"/>
        <v>0</v>
      </c>
      <c r="AY251" s="72" t="s">
        <v>835</v>
      </c>
      <c r="AZ251" s="72" t="s">
        <v>816</v>
      </c>
      <c r="BA251" s="49" t="s">
        <v>226</v>
      </c>
      <c r="BC251" s="37">
        <f t="shared" si="355"/>
        <v>0</v>
      </c>
      <c r="BD251" s="37">
        <f t="shared" si="356"/>
        <v>0</v>
      </c>
      <c r="BE251" s="37">
        <v>0</v>
      </c>
      <c r="BF251" s="37">
        <f>251</f>
        <v>251</v>
      </c>
      <c r="BH251" s="37">
        <f t="shared" si="357"/>
        <v>0</v>
      </c>
      <c r="BI251" s="37">
        <f t="shared" si="358"/>
        <v>0</v>
      </c>
      <c r="BJ251" s="37">
        <f t="shared" si="359"/>
        <v>0</v>
      </c>
      <c r="BK251" s="37"/>
      <c r="BL251" s="37">
        <v>764</v>
      </c>
      <c r="BW251" s="37">
        <v>21</v>
      </c>
      <c r="BX251" s="3" t="s">
        <v>871</v>
      </c>
    </row>
    <row r="252" spans="1:76" x14ac:dyDescent="0.25">
      <c r="A252" s="1" t="s">
        <v>872</v>
      </c>
      <c r="B252" s="2" t="s">
        <v>873</v>
      </c>
      <c r="C252" s="279" t="s">
        <v>874</v>
      </c>
      <c r="D252" s="280"/>
      <c r="E252" s="2" t="s">
        <v>329</v>
      </c>
      <c r="F252" s="37">
        <v>18</v>
      </c>
      <c r="G252" s="78">
        <v>0</v>
      </c>
      <c r="H252" s="37">
        <f t="shared" si="338"/>
        <v>0</v>
      </c>
      <c r="I252" s="37">
        <f t="shared" si="339"/>
        <v>0</v>
      </c>
      <c r="J252" s="37">
        <f t="shared" si="340"/>
        <v>0</v>
      </c>
      <c r="K252" s="79" t="s">
        <v>223</v>
      </c>
      <c r="Z252" s="37">
        <f t="shared" si="341"/>
        <v>0</v>
      </c>
      <c r="AB252" s="37">
        <f t="shared" si="342"/>
        <v>0</v>
      </c>
      <c r="AC252" s="37">
        <f t="shared" si="343"/>
        <v>0</v>
      </c>
      <c r="AD252" s="37">
        <f t="shared" si="344"/>
        <v>0</v>
      </c>
      <c r="AE252" s="37">
        <f t="shared" si="345"/>
        <v>0</v>
      </c>
      <c r="AF252" s="37">
        <f t="shared" si="346"/>
        <v>0</v>
      </c>
      <c r="AG252" s="37">
        <f t="shared" si="347"/>
        <v>0</v>
      </c>
      <c r="AH252" s="37">
        <f t="shared" si="348"/>
        <v>0</v>
      </c>
      <c r="AI252" s="49" t="s">
        <v>89</v>
      </c>
      <c r="AJ252" s="37">
        <f t="shared" si="349"/>
        <v>0</v>
      </c>
      <c r="AK252" s="37">
        <f t="shared" si="350"/>
        <v>0</v>
      </c>
      <c r="AL252" s="37">
        <f t="shared" si="351"/>
        <v>0</v>
      </c>
      <c r="AN252" s="37">
        <v>21</v>
      </c>
      <c r="AO252" s="37">
        <f>G252*0.096491228</f>
        <v>0</v>
      </c>
      <c r="AP252" s="37">
        <f>G252*(1-0.096491228)</f>
        <v>0</v>
      </c>
      <c r="AQ252" s="72" t="s">
        <v>243</v>
      </c>
      <c r="AV252" s="37">
        <f t="shared" si="352"/>
        <v>0</v>
      </c>
      <c r="AW252" s="37">
        <f t="shared" si="353"/>
        <v>0</v>
      </c>
      <c r="AX252" s="37">
        <f t="shared" si="354"/>
        <v>0</v>
      </c>
      <c r="AY252" s="72" t="s">
        <v>835</v>
      </c>
      <c r="AZ252" s="72" t="s">
        <v>816</v>
      </c>
      <c r="BA252" s="49" t="s">
        <v>226</v>
      </c>
      <c r="BC252" s="37">
        <f t="shared" si="355"/>
        <v>0</v>
      </c>
      <c r="BD252" s="37">
        <f t="shared" si="356"/>
        <v>0</v>
      </c>
      <c r="BE252" s="37">
        <v>0</v>
      </c>
      <c r="BF252" s="37">
        <f>252</f>
        <v>252</v>
      </c>
      <c r="BH252" s="37">
        <f t="shared" si="357"/>
        <v>0</v>
      </c>
      <c r="BI252" s="37">
        <f t="shared" si="358"/>
        <v>0</v>
      </c>
      <c r="BJ252" s="37">
        <f t="shared" si="359"/>
        <v>0</v>
      </c>
      <c r="BK252" s="37"/>
      <c r="BL252" s="37">
        <v>764</v>
      </c>
      <c r="BW252" s="37">
        <v>21</v>
      </c>
      <c r="BX252" s="3" t="s">
        <v>874</v>
      </c>
    </row>
    <row r="253" spans="1:76" x14ac:dyDescent="0.25">
      <c r="A253" s="1" t="s">
        <v>875</v>
      </c>
      <c r="B253" s="2" t="s">
        <v>876</v>
      </c>
      <c r="C253" s="279" t="s">
        <v>877</v>
      </c>
      <c r="D253" s="280"/>
      <c r="E253" s="2" t="s">
        <v>329</v>
      </c>
      <c r="F253" s="37">
        <v>18</v>
      </c>
      <c r="G253" s="78">
        <v>0</v>
      </c>
      <c r="H253" s="37">
        <f t="shared" si="338"/>
        <v>0</v>
      </c>
      <c r="I253" s="37">
        <f t="shared" si="339"/>
        <v>0</v>
      </c>
      <c r="J253" s="37">
        <f t="shared" si="340"/>
        <v>0</v>
      </c>
      <c r="K253" s="79" t="s">
        <v>334</v>
      </c>
      <c r="Z253" s="37">
        <f t="shared" si="341"/>
        <v>0</v>
      </c>
      <c r="AB253" s="37">
        <f t="shared" si="342"/>
        <v>0</v>
      </c>
      <c r="AC253" s="37">
        <f t="shared" si="343"/>
        <v>0</v>
      </c>
      <c r="AD253" s="37">
        <f t="shared" si="344"/>
        <v>0</v>
      </c>
      <c r="AE253" s="37">
        <f t="shared" si="345"/>
        <v>0</v>
      </c>
      <c r="AF253" s="37">
        <f t="shared" si="346"/>
        <v>0</v>
      </c>
      <c r="AG253" s="37">
        <f t="shared" si="347"/>
        <v>0</v>
      </c>
      <c r="AH253" s="37">
        <f t="shared" si="348"/>
        <v>0</v>
      </c>
      <c r="AI253" s="49" t="s">
        <v>89</v>
      </c>
      <c r="AJ253" s="37">
        <f t="shared" si="349"/>
        <v>0</v>
      </c>
      <c r="AK253" s="37">
        <f t="shared" si="350"/>
        <v>0</v>
      </c>
      <c r="AL253" s="37">
        <f t="shared" si="351"/>
        <v>0</v>
      </c>
      <c r="AN253" s="37">
        <v>21</v>
      </c>
      <c r="AO253" s="37">
        <f>G253*1</f>
        <v>0</v>
      </c>
      <c r="AP253" s="37">
        <f>G253*(1-1)</f>
        <v>0</v>
      </c>
      <c r="AQ253" s="72" t="s">
        <v>243</v>
      </c>
      <c r="AV253" s="37">
        <f t="shared" si="352"/>
        <v>0</v>
      </c>
      <c r="AW253" s="37">
        <f t="shared" si="353"/>
        <v>0</v>
      </c>
      <c r="AX253" s="37">
        <f t="shared" si="354"/>
        <v>0</v>
      </c>
      <c r="AY253" s="72" t="s">
        <v>835</v>
      </c>
      <c r="AZ253" s="72" t="s">
        <v>816</v>
      </c>
      <c r="BA253" s="49" t="s">
        <v>226</v>
      </c>
      <c r="BC253" s="37">
        <f t="shared" si="355"/>
        <v>0</v>
      </c>
      <c r="BD253" s="37">
        <f t="shared" si="356"/>
        <v>0</v>
      </c>
      <c r="BE253" s="37">
        <v>0</v>
      </c>
      <c r="BF253" s="37">
        <f>253</f>
        <v>253</v>
      </c>
      <c r="BH253" s="37">
        <f t="shared" si="357"/>
        <v>0</v>
      </c>
      <c r="BI253" s="37">
        <f t="shared" si="358"/>
        <v>0</v>
      </c>
      <c r="BJ253" s="37">
        <f t="shared" si="359"/>
        <v>0</v>
      </c>
      <c r="BK253" s="37"/>
      <c r="BL253" s="37">
        <v>764</v>
      </c>
      <c r="BW253" s="37">
        <v>21</v>
      </c>
      <c r="BX253" s="3" t="s">
        <v>877</v>
      </c>
    </row>
    <row r="254" spans="1:76" x14ac:dyDescent="0.25">
      <c r="A254" s="1" t="s">
        <v>878</v>
      </c>
      <c r="B254" s="2" t="s">
        <v>879</v>
      </c>
      <c r="C254" s="279" t="s">
        <v>880</v>
      </c>
      <c r="D254" s="280"/>
      <c r="E254" s="2" t="s">
        <v>329</v>
      </c>
      <c r="F254" s="37">
        <v>2</v>
      </c>
      <c r="G254" s="78">
        <v>0</v>
      </c>
      <c r="H254" s="37">
        <f t="shared" si="338"/>
        <v>0</v>
      </c>
      <c r="I254" s="37">
        <f t="shared" si="339"/>
        <v>0</v>
      </c>
      <c r="J254" s="37">
        <f t="shared" si="340"/>
        <v>0</v>
      </c>
      <c r="K254" s="79" t="s">
        <v>223</v>
      </c>
      <c r="Z254" s="37">
        <f t="shared" si="341"/>
        <v>0</v>
      </c>
      <c r="AB254" s="37">
        <f t="shared" si="342"/>
        <v>0</v>
      </c>
      <c r="AC254" s="37">
        <f t="shared" si="343"/>
        <v>0</v>
      </c>
      <c r="AD254" s="37">
        <f t="shared" si="344"/>
        <v>0</v>
      </c>
      <c r="AE254" s="37">
        <f t="shared" si="345"/>
        <v>0</v>
      </c>
      <c r="AF254" s="37">
        <f t="shared" si="346"/>
        <v>0</v>
      </c>
      <c r="AG254" s="37">
        <f t="shared" si="347"/>
        <v>0</v>
      </c>
      <c r="AH254" s="37">
        <f t="shared" si="348"/>
        <v>0</v>
      </c>
      <c r="AI254" s="49" t="s">
        <v>89</v>
      </c>
      <c r="AJ254" s="37">
        <f t="shared" si="349"/>
        <v>0</v>
      </c>
      <c r="AK254" s="37">
        <f t="shared" si="350"/>
        <v>0</v>
      </c>
      <c r="AL254" s="37">
        <f t="shared" si="351"/>
        <v>0</v>
      </c>
      <c r="AN254" s="37">
        <v>21</v>
      </c>
      <c r="AO254" s="37">
        <f>G254*0.193333333</f>
        <v>0</v>
      </c>
      <c r="AP254" s="37">
        <f>G254*(1-0.193333333)</f>
        <v>0</v>
      </c>
      <c r="AQ254" s="72" t="s">
        <v>243</v>
      </c>
      <c r="AV254" s="37">
        <f t="shared" si="352"/>
        <v>0</v>
      </c>
      <c r="AW254" s="37">
        <f t="shared" si="353"/>
        <v>0</v>
      </c>
      <c r="AX254" s="37">
        <f t="shared" si="354"/>
        <v>0</v>
      </c>
      <c r="AY254" s="72" t="s">
        <v>835</v>
      </c>
      <c r="AZ254" s="72" t="s">
        <v>816</v>
      </c>
      <c r="BA254" s="49" t="s">
        <v>226</v>
      </c>
      <c r="BC254" s="37">
        <f t="shared" si="355"/>
        <v>0</v>
      </c>
      <c r="BD254" s="37">
        <f t="shared" si="356"/>
        <v>0</v>
      </c>
      <c r="BE254" s="37">
        <v>0</v>
      </c>
      <c r="BF254" s="37">
        <f>254</f>
        <v>254</v>
      </c>
      <c r="BH254" s="37">
        <f t="shared" si="357"/>
        <v>0</v>
      </c>
      <c r="BI254" s="37">
        <f t="shared" si="358"/>
        <v>0</v>
      </c>
      <c r="BJ254" s="37">
        <f t="shared" si="359"/>
        <v>0</v>
      </c>
      <c r="BK254" s="37"/>
      <c r="BL254" s="37">
        <v>764</v>
      </c>
      <c r="BW254" s="37">
        <v>21</v>
      </c>
      <c r="BX254" s="3" t="s">
        <v>880</v>
      </c>
    </row>
    <row r="255" spans="1:76" x14ac:dyDescent="0.25">
      <c r="A255" s="1" t="s">
        <v>881</v>
      </c>
      <c r="B255" s="2" t="s">
        <v>882</v>
      </c>
      <c r="C255" s="279" t="s">
        <v>883</v>
      </c>
      <c r="D255" s="280"/>
      <c r="E255" s="2" t="s">
        <v>329</v>
      </c>
      <c r="F255" s="37">
        <v>2</v>
      </c>
      <c r="G255" s="78">
        <v>0</v>
      </c>
      <c r="H255" s="37">
        <f t="shared" si="338"/>
        <v>0</v>
      </c>
      <c r="I255" s="37">
        <f t="shared" si="339"/>
        <v>0</v>
      </c>
      <c r="J255" s="37">
        <f t="shared" si="340"/>
        <v>0</v>
      </c>
      <c r="K255" s="79" t="s">
        <v>223</v>
      </c>
      <c r="Z255" s="37">
        <f t="shared" si="341"/>
        <v>0</v>
      </c>
      <c r="AB255" s="37">
        <f t="shared" si="342"/>
        <v>0</v>
      </c>
      <c r="AC255" s="37">
        <f t="shared" si="343"/>
        <v>0</v>
      </c>
      <c r="AD255" s="37">
        <f t="shared" si="344"/>
        <v>0</v>
      </c>
      <c r="AE255" s="37">
        <f t="shared" si="345"/>
        <v>0</v>
      </c>
      <c r="AF255" s="37">
        <f t="shared" si="346"/>
        <v>0</v>
      </c>
      <c r="AG255" s="37">
        <f t="shared" si="347"/>
        <v>0</v>
      </c>
      <c r="AH255" s="37">
        <f t="shared" si="348"/>
        <v>0</v>
      </c>
      <c r="AI255" s="49" t="s">
        <v>89</v>
      </c>
      <c r="AJ255" s="37">
        <f t="shared" si="349"/>
        <v>0</v>
      </c>
      <c r="AK255" s="37">
        <f t="shared" si="350"/>
        <v>0</v>
      </c>
      <c r="AL255" s="37">
        <f t="shared" si="351"/>
        <v>0</v>
      </c>
      <c r="AN255" s="37">
        <v>21</v>
      </c>
      <c r="AO255" s="37">
        <f>G255*1</f>
        <v>0</v>
      </c>
      <c r="AP255" s="37">
        <f>G255*(1-1)</f>
        <v>0</v>
      </c>
      <c r="AQ255" s="72" t="s">
        <v>243</v>
      </c>
      <c r="AV255" s="37">
        <f t="shared" si="352"/>
        <v>0</v>
      </c>
      <c r="AW255" s="37">
        <f t="shared" si="353"/>
        <v>0</v>
      </c>
      <c r="AX255" s="37">
        <f t="shared" si="354"/>
        <v>0</v>
      </c>
      <c r="AY255" s="72" t="s">
        <v>835</v>
      </c>
      <c r="AZ255" s="72" t="s">
        <v>816</v>
      </c>
      <c r="BA255" s="49" t="s">
        <v>226</v>
      </c>
      <c r="BC255" s="37">
        <f t="shared" si="355"/>
        <v>0</v>
      </c>
      <c r="BD255" s="37">
        <f t="shared" si="356"/>
        <v>0</v>
      </c>
      <c r="BE255" s="37">
        <v>0</v>
      </c>
      <c r="BF255" s="37">
        <f>255</f>
        <v>255</v>
      </c>
      <c r="BH255" s="37">
        <f t="shared" si="357"/>
        <v>0</v>
      </c>
      <c r="BI255" s="37">
        <f t="shared" si="358"/>
        <v>0</v>
      </c>
      <c r="BJ255" s="37">
        <f t="shared" si="359"/>
        <v>0</v>
      </c>
      <c r="BK255" s="37"/>
      <c r="BL255" s="37">
        <v>764</v>
      </c>
      <c r="BW255" s="37">
        <v>21</v>
      </c>
      <c r="BX255" s="3" t="s">
        <v>883</v>
      </c>
    </row>
    <row r="256" spans="1:76" x14ac:dyDescent="0.25">
      <c r="A256" s="1" t="s">
        <v>884</v>
      </c>
      <c r="B256" s="2" t="s">
        <v>885</v>
      </c>
      <c r="C256" s="279" t="s">
        <v>886</v>
      </c>
      <c r="D256" s="280"/>
      <c r="E256" s="2" t="s">
        <v>63</v>
      </c>
      <c r="F256" s="37">
        <v>711.7328</v>
      </c>
      <c r="G256" s="78">
        <v>0</v>
      </c>
      <c r="H256" s="37">
        <f t="shared" si="338"/>
        <v>0</v>
      </c>
      <c r="I256" s="37">
        <f t="shared" si="339"/>
        <v>0</v>
      </c>
      <c r="J256" s="37">
        <f t="shared" si="340"/>
        <v>0</v>
      </c>
      <c r="K256" s="79" t="s">
        <v>223</v>
      </c>
      <c r="Z256" s="37">
        <f t="shared" si="341"/>
        <v>0</v>
      </c>
      <c r="AB256" s="37">
        <f t="shared" si="342"/>
        <v>0</v>
      </c>
      <c r="AC256" s="37">
        <f t="shared" si="343"/>
        <v>0</v>
      </c>
      <c r="AD256" s="37">
        <f t="shared" si="344"/>
        <v>0</v>
      </c>
      <c r="AE256" s="37">
        <f t="shared" si="345"/>
        <v>0</v>
      </c>
      <c r="AF256" s="37">
        <f t="shared" si="346"/>
        <v>0</v>
      </c>
      <c r="AG256" s="37">
        <f t="shared" si="347"/>
        <v>0</v>
      </c>
      <c r="AH256" s="37">
        <f t="shared" si="348"/>
        <v>0</v>
      </c>
      <c r="AI256" s="49" t="s">
        <v>89</v>
      </c>
      <c r="AJ256" s="37">
        <f t="shared" si="349"/>
        <v>0</v>
      </c>
      <c r="AK256" s="37">
        <f t="shared" si="350"/>
        <v>0</v>
      </c>
      <c r="AL256" s="37">
        <f t="shared" si="351"/>
        <v>0</v>
      </c>
      <c r="AN256" s="37">
        <v>21</v>
      </c>
      <c r="AO256" s="37">
        <f>G256*0</f>
        <v>0</v>
      </c>
      <c r="AP256" s="37">
        <f>G256*(1-0)</f>
        <v>0</v>
      </c>
      <c r="AQ256" s="72" t="s">
        <v>237</v>
      </c>
      <c r="AV256" s="37">
        <f t="shared" si="352"/>
        <v>0</v>
      </c>
      <c r="AW256" s="37">
        <f t="shared" si="353"/>
        <v>0</v>
      </c>
      <c r="AX256" s="37">
        <f t="shared" si="354"/>
        <v>0</v>
      </c>
      <c r="AY256" s="72" t="s">
        <v>835</v>
      </c>
      <c r="AZ256" s="72" t="s">
        <v>816</v>
      </c>
      <c r="BA256" s="49" t="s">
        <v>226</v>
      </c>
      <c r="BC256" s="37">
        <f t="shared" si="355"/>
        <v>0</v>
      </c>
      <c r="BD256" s="37">
        <f t="shared" si="356"/>
        <v>0</v>
      </c>
      <c r="BE256" s="37">
        <v>0</v>
      </c>
      <c r="BF256" s="37">
        <f>256</f>
        <v>256</v>
      </c>
      <c r="BH256" s="37">
        <f t="shared" si="357"/>
        <v>0</v>
      </c>
      <c r="BI256" s="37">
        <f t="shared" si="358"/>
        <v>0</v>
      </c>
      <c r="BJ256" s="37">
        <f t="shared" si="359"/>
        <v>0</v>
      </c>
      <c r="BK256" s="37"/>
      <c r="BL256" s="37">
        <v>764</v>
      </c>
      <c r="BW256" s="37">
        <v>21</v>
      </c>
      <c r="BX256" s="3" t="s">
        <v>886</v>
      </c>
    </row>
    <row r="257" spans="1:76" x14ac:dyDescent="0.25">
      <c r="A257" s="80" t="s">
        <v>4</v>
      </c>
      <c r="B257" s="81" t="s">
        <v>147</v>
      </c>
      <c r="C257" s="365" t="s">
        <v>148</v>
      </c>
      <c r="D257" s="366"/>
      <c r="E257" s="82" t="s">
        <v>81</v>
      </c>
      <c r="F257" s="82" t="s">
        <v>81</v>
      </c>
      <c r="G257" s="83" t="s">
        <v>81</v>
      </c>
      <c r="H257" s="43">
        <f>SUM(H258:H292)</f>
        <v>0</v>
      </c>
      <c r="I257" s="43">
        <f>SUM(I258:I292)</f>
        <v>0</v>
      </c>
      <c r="J257" s="43">
        <f>SUM(J258:J292)</f>
        <v>0</v>
      </c>
      <c r="K257" s="84" t="s">
        <v>4</v>
      </c>
      <c r="AI257" s="49" t="s">
        <v>89</v>
      </c>
      <c r="AS257" s="43">
        <f>SUM(AJ258:AJ292)</f>
        <v>0</v>
      </c>
      <c r="AT257" s="43">
        <f>SUM(AK258:AK292)</f>
        <v>0</v>
      </c>
      <c r="AU257" s="43">
        <f>SUM(AL258:AL292)</f>
        <v>0</v>
      </c>
    </row>
    <row r="258" spans="1:76" x14ac:dyDescent="0.25">
      <c r="A258" s="1" t="s">
        <v>887</v>
      </c>
      <c r="B258" s="2" t="s">
        <v>888</v>
      </c>
      <c r="C258" s="279" t="s">
        <v>889</v>
      </c>
      <c r="D258" s="280"/>
      <c r="E258" s="2" t="s">
        <v>329</v>
      </c>
      <c r="F258" s="37">
        <v>1</v>
      </c>
      <c r="G258" s="78">
        <v>0</v>
      </c>
      <c r="H258" s="37">
        <f t="shared" ref="H258:H292" si="360">F258*AO258</f>
        <v>0</v>
      </c>
      <c r="I258" s="37">
        <f t="shared" ref="I258:I292" si="361">F258*AP258</f>
        <v>0</v>
      </c>
      <c r="J258" s="37">
        <f t="shared" ref="J258:J292" si="362">F258*G258</f>
        <v>0</v>
      </c>
      <c r="K258" s="79" t="s">
        <v>223</v>
      </c>
      <c r="Z258" s="37">
        <f t="shared" ref="Z258:Z292" si="363">IF(AQ258="5",BJ258,0)</f>
        <v>0</v>
      </c>
      <c r="AB258" s="37">
        <f t="shared" ref="AB258:AB292" si="364">IF(AQ258="1",BH258,0)</f>
        <v>0</v>
      </c>
      <c r="AC258" s="37">
        <f t="shared" ref="AC258:AC292" si="365">IF(AQ258="1",BI258,0)</f>
        <v>0</v>
      </c>
      <c r="AD258" s="37">
        <f t="shared" ref="AD258:AD292" si="366">IF(AQ258="7",BH258,0)</f>
        <v>0</v>
      </c>
      <c r="AE258" s="37">
        <f t="shared" ref="AE258:AE292" si="367">IF(AQ258="7",BI258,0)</f>
        <v>0</v>
      </c>
      <c r="AF258" s="37">
        <f t="shared" ref="AF258:AF292" si="368">IF(AQ258="2",BH258,0)</f>
        <v>0</v>
      </c>
      <c r="AG258" s="37">
        <f t="shared" ref="AG258:AG292" si="369">IF(AQ258="2",BI258,0)</f>
        <v>0</v>
      </c>
      <c r="AH258" s="37">
        <f t="shared" ref="AH258:AH292" si="370">IF(AQ258="0",BJ258,0)</f>
        <v>0</v>
      </c>
      <c r="AI258" s="49" t="s">
        <v>89</v>
      </c>
      <c r="AJ258" s="37">
        <f t="shared" ref="AJ258:AJ292" si="371">IF(AN258=0,J258,0)</f>
        <v>0</v>
      </c>
      <c r="AK258" s="37">
        <f t="shared" ref="AK258:AK292" si="372">IF(AN258=12,J258,0)</f>
        <v>0</v>
      </c>
      <c r="AL258" s="37">
        <f t="shared" ref="AL258:AL292" si="373">IF(AN258=21,J258,0)</f>
        <v>0</v>
      </c>
      <c r="AN258" s="37">
        <v>21</v>
      </c>
      <c r="AO258" s="37">
        <f>G258*0.278840921</f>
        <v>0</v>
      </c>
      <c r="AP258" s="37">
        <f>G258*(1-0.278840921)</f>
        <v>0</v>
      </c>
      <c r="AQ258" s="72" t="s">
        <v>243</v>
      </c>
      <c r="AV258" s="37">
        <f t="shared" ref="AV258:AV292" si="374">AW258+AX258</f>
        <v>0</v>
      </c>
      <c r="AW258" s="37">
        <f t="shared" ref="AW258:AW292" si="375">F258*AO258</f>
        <v>0</v>
      </c>
      <c r="AX258" s="37">
        <f t="shared" ref="AX258:AX292" si="376">F258*AP258</f>
        <v>0</v>
      </c>
      <c r="AY258" s="72" t="s">
        <v>890</v>
      </c>
      <c r="AZ258" s="72" t="s">
        <v>816</v>
      </c>
      <c r="BA258" s="49" t="s">
        <v>226</v>
      </c>
      <c r="BC258" s="37">
        <f t="shared" ref="BC258:BC292" si="377">AW258+AX258</f>
        <v>0</v>
      </c>
      <c r="BD258" s="37">
        <f t="shared" ref="BD258:BD292" si="378">G258/(100-BE258)*100</f>
        <v>0</v>
      </c>
      <c r="BE258" s="37">
        <v>0</v>
      </c>
      <c r="BF258" s="37">
        <f>258</f>
        <v>258</v>
      </c>
      <c r="BH258" s="37">
        <f t="shared" ref="BH258:BH292" si="379">F258*AO258</f>
        <v>0</v>
      </c>
      <c r="BI258" s="37">
        <f t="shared" ref="BI258:BI292" si="380">F258*AP258</f>
        <v>0</v>
      </c>
      <c r="BJ258" s="37">
        <f t="shared" ref="BJ258:BJ292" si="381">F258*G258</f>
        <v>0</v>
      </c>
      <c r="BK258" s="37"/>
      <c r="BL258" s="37">
        <v>766</v>
      </c>
      <c r="BW258" s="37">
        <v>21</v>
      </c>
      <c r="BX258" s="3" t="s">
        <v>889</v>
      </c>
    </row>
    <row r="259" spans="1:76" x14ac:dyDescent="0.25">
      <c r="A259" s="1" t="s">
        <v>891</v>
      </c>
      <c r="B259" s="2" t="s">
        <v>892</v>
      </c>
      <c r="C259" s="279" t="s">
        <v>893</v>
      </c>
      <c r="D259" s="280"/>
      <c r="E259" s="2" t="s">
        <v>329</v>
      </c>
      <c r="F259" s="37">
        <v>1</v>
      </c>
      <c r="G259" s="78">
        <v>0</v>
      </c>
      <c r="H259" s="37">
        <f t="shared" si="360"/>
        <v>0</v>
      </c>
      <c r="I259" s="37">
        <f t="shared" si="361"/>
        <v>0</v>
      </c>
      <c r="J259" s="37">
        <f t="shared" si="362"/>
        <v>0</v>
      </c>
      <c r="K259" s="79" t="s">
        <v>223</v>
      </c>
      <c r="Z259" s="37">
        <f t="shared" si="363"/>
        <v>0</v>
      </c>
      <c r="AB259" s="37">
        <f t="shared" si="364"/>
        <v>0</v>
      </c>
      <c r="AC259" s="37">
        <f t="shared" si="365"/>
        <v>0</v>
      </c>
      <c r="AD259" s="37">
        <f t="shared" si="366"/>
        <v>0</v>
      </c>
      <c r="AE259" s="37">
        <f t="shared" si="367"/>
        <v>0</v>
      </c>
      <c r="AF259" s="37">
        <f t="shared" si="368"/>
        <v>0</v>
      </c>
      <c r="AG259" s="37">
        <f t="shared" si="369"/>
        <v>0</v>
      </c>
      <c r="AH259" s="37">
        <f t="shared" si="370"/>
        <v>0</v>
      </c>
      <c r="AI259" s="49" t="s">
        <v>89</v>
      </c>
      <c r="AJ259" s="37">
        <f t="shared" si="371"/>
        <v>0</v>
      </c>
      <c r="AK259" s="37">
        <f t="shared" si="372"/>
        <v>0</v>
      </c>
      <c r="AL259" s="37">
        <f t="shared" si="373"/>
        <v>0</v>
      </c>
      <c r="AN259" s="37">
        <v>21</v>
      </c>
      <c r="AO259" s="37">
        <f>G259*1</f>
        <v>0</v>
      </c>
      <c r="AP259" s="37">
        <f>G259*(1-1)</f>
        <v>0</v>
      </c>
      <c r="AQ259" s="72" t="s">
        <v>243</v>
      </c>
      <c r="AV259" s="37">
        <f t="shared" si="374"/>
        <v>0</v>
      </c>
      <c r="AW259" s="37">
        <f t="shared" si="375"/>
        <v>0</v>
      </c>
      <c r="AX259" s="37">
        <f t="shared" si="376"/>
        <v>0</v>
      </c>
      <c r="AY259" s="72" t="s">
        <v>890</v>
      </c>
      <c r="AZ259" s="72" t="s">
        <v>816</v>
      </c>
      <c r="BA259" s="49" t="s">
        <v>226</v>
      </c>
      <c r="BC259" s="37">
        <f t="shared" si="377"/>
        <v>0</v>
      </c>
      <c r="BD259" s="37">
        <f t="shared" si="378"/>
        <v>0</v>
      </c>
      <c r="BE259" s="37">
        <v>0</v>
      </c>
      <c r="BF259" s="37">
        <f>259</f>
        <v>259</v>
      </c>
      <c r="BH259" s="37">
        <f t="shared" si="379"/>
        <v>0</v>
      </c>
      <c r="BI259" s="37">
        <f t="shared" si="380"/>
        <v>0</v>
      </c>
      <c r="BJ259" s="37">
        <f t="shared" si="381"/>
        <v>0</v>
      </c>
      <c r="BK259" s="37"/>
      <c r="BL259" s="37">
        <v>766</v>
      </c>
      <c r="BW259" s="37">
        <v>21</v>
      </c>
      <c r="BX259" s="3" t="s">
        <v>893</v>
      </c>
    </row>
    <row r="260" spans="1:76" x14ac:dyDescent="0.25">
      <c r="A260" s="1" t="s">
        <v>894</v>
      </c>
      <c r="B260" s="2" t="s">
        <v>895</v>
      </c>
      <c r="C260" s="279" t="s">
        <v>896</v>
      </c>
      <c r="D260" s="280"/>
      <c r="E260" s="2" t="s">
        <v>329</v>
      </c>
      <c r="F260" s="37">
        <v>3</v>
      </c>
      <c r="G260" s="78">
        <v>0</v>
      </c>
      <c r="H260" s="37">
        <f t="shared" si="360"/>
        <v>0</v>
      </c>
      <c r="I260" s="37">
        <f t="shared" si="361"/>
        <v>0</v>
      </c>
      <c r="J260" s="37">
        <f t="shared" si="362"/>
        <v>0</v>
      </c>
      <c r="K260" s="79" t="s">
        <v>223</v>
      </c>
      <c r="Z260" s="37">
        <f t="shared" si="363"/>
        <v>0</v>
      </c>
      <c r="AB260" s="37">
        <f t="shared" si="364"/>
        <v>0</v>
      </c>
      <c r="AC260" s="37">
        <f t="shared" si="365"/>
        <v>0</v>
      </c>
      <c r="AD260" s="37">
        <f t="shared" si="366"/>
        <v>0</v>
      </c>
      <c r="AE260" s="37">
        <f t="shared" si="367"/>
        <v>0</v>
      </c>
      <c r="AF260" s="37">
        <f t="shared" si="368"/>
        <v>0</v>
      </c>
      <c r="AG260" s="37">
        <f t="shared" si="369"/>
        <v>0</v>
      </c>
      <c r="AH260" s="37">
        <f t="shared" si="370"/>
        <v>0</v>
      </c>
      <c r="AI260" s="49" t="s">
        <v>89</v>
      </c>
      <c r="AJ260" s="37">
        <f t="shared" si="371"/>
        <v>0</v>
      </c>
      <c r="AK260" s="37">
        <f t="shared" si="372"/>
        <v>0</v>
      </c>
      <c r="AL260" s="37">
        <f t="shared" si="373"/>
        <v>0</v>
      </c>
      <c r="AN260" s="37">
        <v>21</v>
      </c>
      <c r="AO260" s="37">
        <f>G260*0</f>
        <v>0</v>
      </c>
      <c r="AP260" s="37">
        <f>G260*(1-0)</f>
        <v>0</v>
      </c>
      <c r="AQ260" s="72" t="s">
        <v>243</v>
      </c>
      <c r="AV260" s="37">
        <f t="shared" si="374"/>
        <v>0</v>
      </c>
      <c r="AW260" s="37">
        <f t="shared" si="375"/>
        <v>0</v>
      </c>
      <c r="AX260" s="37">
        <f t="shared" si="376"/>
        <v>0</v>
      </c>
      <c r="AY260" s="72" t="s">
        <v>890</v>
      </c>
      <c r="AZ260" s="72" t="s">
        <v>816</v>
      </c>
      <c r="BA260" s="49" t="s">
        <v>226</v>
      </c>
      <c r="BC260" s="37">
        <f t="shared" si="377"/>
        <v>0</v>
      </c>
      <c r="BD260" s="37">
        <f t="shared" si="378"/>
        <v>0</v>
      </c>
      <c r="BE260" s="37">
        <v>0</v>
      </c>
      <c r="BF260" s="37">
        <f>260</f>
        <v>260</v>
      </c>
      <c r="BH260" s="37">
        <f t="shared" si="379"/>
        <v>0</v>
      </c>
      <c r="BI260" s="37">
        <f t="shared" si="380"/>
        <v>0</v>
      </c>
      <c r="BJ260" s="37">
        <f t="shared" si="381"/>
        <v>0</v>
      </c>
      <c r="BK260" s="37"/>
      <c r="BL260" s="37">
        <v>766</v>
      </c>
      <c r="BW260" s="37">
        <v>21</v>
      </c>
      <c r="BX260" s="3" t="s">
        <v>896</v>
      </c>
    </row>
    <row r="261" spans="1:76" x14ac:dyDescent="0.25">
      <c r="A261" s="1" t="s">
        <v>897</v>
      </c>
      <c r="B261" s="2" t="s">
        <v>898</v>
      </c>
      <c r="C261" s="279" t="s">
        <v>899</v>
      </c>
      <c r="D261" s="280"/>
      <c r="E261" s="2" t="s">
        <v>329</v>
      </c>
      <c r="F261" s="37">
        <v>3</v>
      </c>
      <c r="G261" s="78">
        <v>0</v>
      </c>
      <c r="H261" s="37">
        <f t="shared" si="360"/>
        <v>0</v>
      </c>
      <c r="I261" s="37">
        <f t="shared" si="361"/>
        <v>0</v>
      </c>
      <c r="J261" s="37">
        <f t="shared" si="362"/>
        <v>0</v>
      </c>
      <c r="K261" s="79" t="s">
        <v>223</v>
      </c>
      <c r="Z261" s="37">
        <f t="shared" si="363"/>
        <v>0</v>
      </c>
      <c r="AB261" s="37">
        <f t="shared" si="364"/>
        <v>0</v>
      </c>
      <c r="AC261" s="37">
        <f t="shared" si="365"/>
        <v>0</v>
      </c>
      <c r="AD261" s="37">
        <f t="shared" si="366"/>
        <v>0</v>
      </c>
      <c r="AE261" s="37">
        <f t="shared" si="367"/>
        <v>0</v>
      </c>
      <c r="AF261" s="37">
        <f t="shared" si="368"/>
        <v>0</v>
      </c>
      <c r="AG261" s="37">
        <f t="shared" si="369"/>
        <v>0</v>
      </c>
      <c r="AH261" s="37">
        <f t="shared" si="370"/>
        <v>0</v>
      </c>
      <c r="AI261" s="49" t="s">
        <v>89</v>
      </c>
      <c r="AJ261" s="37">
        <f t="shared" si="371"/>
        <v>0</v>
      </c>
      <c r="AK261" s="37">
        <f t="shared" si="372"/>
        <v>0</v>
      </c>
      <c r="AL261" s="37">
        <f t="shared" si="373"/>
        <v>0</v>
      </c>
      <c r="AN261" s="37">
        <v>21</v>
      </c>
      <c r="AO261" s="37">
        <f>G261*1</f>
        <v>0</v>
      </c>
      <c r="AP261" s="37">
        <f>G261*(1-1)</f>
        <v>0</v>
      </c>
      <c r="AQ261" s="72" t="s">
        <v>243</v>
      </c>
      <c r="AV261" s="37">
        <f t="shared" si="374"/>
        <v>0</v>
      </c>
      <c r="AW261" s="37">
        <f t="shared" si="375"/>
        <v>0</v>
      </c>
      <c r="AX261" s="37">
        <f t="shared" si="376"/>
        <v>0</v>
      </c>
      <c r="AY261" s="72" t="s">
        <v>890</v>
      </c>
      <c r="AZ261" s="72" t="s">
        <v>816</v>
      </c>
      <c r="BA261" s="49" t="s">
        <v>226</v>
      </c>
      <c r="BC261" s="37">
        <f t="shared" si="377"/>
        <v>0</v>
      </c>
      <c r="BD261" s="37">
        <f t="shared" si="378"/>
        <v>0</v>
      </c>
      <c r="BE261" s="37">
        <v>0</v>
      </c>
      <c r="BF261" s="37">
        <f>261</f>
        <v>261</v>
      </c>
      <c r="BH261" s="37">
        <f t="shared" si="379"/>
        <v>0</v>
      </c>
      <c r="BI261" s="37">
        <f t="shared" si="380"/>
        <v>0</v>
      </c>
      <c r="BJ261" s="37">
        <f t="shared" si="381"/>
        <v>0</v>
      </c>
      <c r="BK261" s="37"/>
      <c r="BL261" s="37">
        <v>766</v>
      </c>
      <c r="BW261" s="37">
        <v>21</v>
      </c>
      <c r="BX261" s="3" t="s">
        <v>899</v>
      </c>
    </row>
    <row r="262" spans="1:76" x14ac:dyDescent="0.25">
      <c r="A262" s="1" t="s">
        <v>900</v>
      </c>
      <c r="B262" s="2" t="s">
        <v>901</v>
      </c>
      <c r="C262" s="279" t="s">
        <v>902</v>
      </c>
      <c r="D262" s="280"/>
      <c r="E262" s="2" t="s">
        <v>329</v>
      </c>
      <c r="F262" s="37">
        <v>1</v>
      </c>
      <c r="G262" s="78">
        <v>0</v>
      </c>
      <c r="H262" s="37">
        <f t="shared" si="360"/>
        <v>0</v>
      </c>
      <c r="I262" s="37">
        <f t="shared" si="361"/>
        <v>0</v>
      </c>
      <c r="J262" s="37">
        <f t="shared" si="362"/>
        <v>0</v>
      </c>
      <c r="K262" s="79" t="s">
        <v>223</v>
      </c>
      <c r="Z262" s="37">
        <f t="shared" si="363"/>
        <v>0</v>
      </c>
      <c r="AB262" s="37">
        <f t="shared" si="364"/>
        <v>0</v>
      </c>
      <c r="AC262" s="37">
        <f t="shared" si="365"/>
        <v>0</v>
      </c>
      <c r="AD262" s="37">
        <f t="shared" si="366"/>
        <v>0</v>
      </c>
      <c r="AE262" s="37">
        <f t="shared" si="367"/>
        <v>0</v>
      </c>
      <c r="AF262" s="37">
        <f t="shared" si="368"/>
        <v>0</v>
      </c>
      <c r="AG262" s="37">
        <f t="shared" si="369"/>
        <v>0</v>
      </c>
      <c r="AH262" s="37">
        <f t="shared" si="370"/>
        <v>0</v>
      </c>
      <c r="AI262" s="49" t="s">
        <v>89</v>
      </c>
      <c r="AJ262" s="37">
        <f t="shared" si="371"/>
        <v>0</v>
      </c>
      <c r="AK262" s="37">
        <f t="shared" si="372"/>
        <v>0</v>
      </c>
      <c r="AL262" s="37">
        <f t="shared" si="373"/>
        <v>0</v>
      </c>
      <c r="AN262" s="37">
        <v>21</v>
      </c>
      <c r="AO262" s="37">
        <f>G262*0.150084977</f>
        <v>0</v>
      </c>
      <c r="AP262" s="37">
        <f>G262*(1-0.150084977)</f>
        <v>0</v>
      </c>
      <c r="AQ262" s="72" t="s">
        <v>243</v>
      </c>
      <c r="AV262" s="37">
        <f t="shared" si="374"/>
        <v>0</v>
      </c>
      <c r="AW262" s="37">
        <f t="shared" si="375"/>
        <v>0</v>
      </c>
      <c r="AX262" s="37">
        <f t="shared" si="376"/>
        <v>0</v>
      </c>
      <c r="AY262" s="72" t="s">
        <v>890</v>
      </c>
      <c r="AZ262" s="72" t="s">
        <v>816</v>
      </c>
      <c r="BA262" s="49" t="s">
        <v>226</v>
      </c>
      <c r="BC262" s="37">
        <f t="shared" si="377"/>
        <v>0</v>
      </c>
      <c r="BD262" s="37">
        <f t="shared" si="378"/>
        <v>0</v>
      </c>
      <c r="BE262" s="37">
        <v>0</v>
      </c>
      <c r="BF262" s="37">
        <f>262</f>
        <v>262</v>
      </c>
      <c r="BH262" s="37">
        <f t="shared" si="379"/>
        <v>0</v>
      </c>
      <c r="BI262" s="37">
        <f t="shared" si="380"/>
        <v>0</v>
      </c>
      <c r="BJ262" s="37">
        <f t="shared" si="381"/>
        <v>0</v>
      </c>
      <c r="BK262" s="37"/>
      <c r="BL262" s="37">
        <v>766</v>
      </c>
      <c r="BW262" s="37">
        <v>21</v>
      </c>
      <c r="BX262" s="3" t="s">
        <v>902</v>
      </c>
    </row>
    <row r="263" spans="1:76" x14ac:dyDescent="0.25">
      <c r="A263" s="1" t="s">
        <v>903</v>
      </c>
      <c r="B263" s="2" t="s">
        <v>904</v>
      </c>
      <c r="C263" s="279" t="s">
        <v>905</v>
      </c>
      <c r="D263" s="280"/>
      <c r="E263" s="2" t="s">
        <v>329</v>
      </c>
      <c r="F263" s="37">
        <v>1</v>
      </c>
      <c r="G263" s="78">
        <v>0</v>
      </c>
      <c r="H263" s="37">
        <f t="shared" si="360"/>
        <v>0</v>
      </c>
      <c r="I263" s="37">
        <f t="shared" si="361"/>
        <v>0</v>
      </c>
      <c r="J263" s="37">
        <f t="shared" si="362"/>
        <v>0</v>
      </c>
      <c r="K263" s="79" t="s">
        <v>223</v>
      </c>
      <c r="Z263" s="37">
        <f t="shared" si="363"/>
        <v>0</v>
      </c>
      <c r="AB263" s="37">
        <f t="shared" si="364"/>
        <v>0</v>
      </c>
      <c r="AC263" s="37">
        <f t="shared" si="365"/>
        <v>0</v>
      </c>
      <c r="AD263" s="37">
        <f t="shared" si="366"/>
        <v>0</v>
      </c>
      <c r="AE263" s="37">
        <f t="shared" si="367"/>
        <v>0</v>
      </c>
      <c r="AF263" s="37">
        <f t="shared" si="368"/>
        <v>0</v>
      </c>
      <c r="AG263" s="37">
        <f t="shared" si="369"/>
        <v>0</v>
      </c>
      <c r="AH263" s="37">
        <f t="shared" si="370"/>
        <v>0</v>
      </c>
      <c r="AI263" s="49" t="s">
        <v>89</v>
      </c>
      <c r="AJ263" s="37">
        <f t="shared" si="371"/>
        <v>0</v>
      </c>
      <c r="AK263" s="37">
        <f t="shared" si="372"/>
        <v>0</v>
      </c>
      <c r="AL263" s="37">
        <f t="shared" si="373"/>
        <v>0</v>
      </c>
      <c r="AN263" s="37">
        <v>21</v>
      </c>
      <c r="AO263" s="37">
        <f>G263*1</f>
        <v>0</v>
      </c>
      <c r="AP263" s="37">
        <f>G263*(1-1)</f>
        <v>0</v>
      </c>
      <c r="AQ263" s="72" t="s">
        <v>243</v>
      </c>
      <c r="AV263" s="37">
        <f t="shared" si="374"/>
        <v>0</v>
      </c>
      <c r="AW263" s="37">
        <f t="shared" si="375"/>
        <v>0</v>
      </c>
      <c r="AX263" s="37">
        <f t="shared" si="376"/>
        <v>0</v>
      </c>
      <c r="AY263" s="72" t="s">
        <v>890</v>
      </c>
      <c r="AZ263" s="72" t="s">
        <v>816</v>
      </c>
      <c r="BA263" s="49" t="s">
        <v>226</v>
      </c>
      <c r="BC263" s="37">
        <f t="shared" si="377"/>
        <v>0</v>
      </c>
      <c r="BD263" s="37">
        <f t="shared" si="378"/>
        <v>0</v>
      </c>
      <c r="BE263" s="37">
        <v>0</v>
      </c>
      <c r="BF263" s="37">
        <f>263</f>
        <v>263</v>
      </c>
      <c r="BH263" s="37">
        <f t="shared" si="379"/>
        <v>0</v>
      </c>
      <c r="BI263" s="37">
        <f t="shared" si="380"/>
        <v>0</v>
      </c>
      <c r="BJ263" s="37">
        <f t="shared" si="381"/>
        <v>0</v>
      </c>
      <c r="BK263" s="37"/>
      <c r="BL263" s="37">
        <v>766</v>
      </c>
      <c r="BW263" s="37">
        <v>21</v>
      </c>
      <c r="BX263" s="3" t="s">
        <v>905</v>
      </c>
    </row>
    <row r="264" spans="1:76" x14ac:dyDescent="0.25">
      <c r="A264" s="1" t="s">
        <v>906</v>
      </c>
      <c r="B264" s="2" t="s">
        <v>907</v>
      </c>
      <c r="C264" s="279" t="s">
        <v>908</v>
      </c>
      <c r="D264" s="280"/>
      <c r="E264" s="2" t="s">
        <v>329</v>
      </c>
      <c r="F264" s="37">
        <v>1</v>
      </c>
      <c r="G264" s="78">
        <v>0</v>
      </c>
      <c r="H264" s="37">
        <f t="shared" si="360"/>
        <v>0</v>
      </c>
      <c r="I264" s="37">
        <f t="shared" si="361"/>
        <v>0</v>
      </c>
      <c r="J264" s="37">
        <f t="shared" si="362"/>
        <v>0</v>
      </c>
      <c r="K264" s="79" t="s">
        <v>223</v>
      </c>
      <c r="Z264" s="37">
        <f t="shared" si="363"/>
        <v>0</v>
      </c>
      <c r="AB264" s="37">
        <f t="shared" si="364"/>
        <v>0</v>
      </c>
      <c r="AC264" s="37">
        <f t="shared" si="365"/>
        <v>0</v>
      </c>
      <c r="AD264" s="37">
        <f t="shared" si="366"/>
        <v>0</v>
      </c>
      <c r="AE264" s="37">
        <f t="shared" si="367"/>
        <v>0</v>
      </c>
      <c r="AF264" s="37">
        <f t="shared" si="368"/>
        <v>0</v>
      </c>
      <c r="AG264" s="37">
        <f t="shared" si="369"/>
        <v>0</v>
      </c>
      <c r="AH264" s="37">
        <f t="shared" si="370"/>
        <v>0</v>
      </c>
      <c r="AI264" s="49" t="s">
        <v>89</v>
      </c>
      <c r="AJ264" s="37">
        <f t="shared" si="371"/>
        <v>0</v>
      </c>
      <c r="AK264" s="37">
        <f t="shared" si="372"/>
        <v>0</v>
      </c>
      <c r="AL264" s="37">
        <f t="shared" si="373"/>
        <v>0</v>
      </c>
      <c r="AN264" s="37">
        <v>21</v>
      </c>
      <c r="AO264" s="37">
        <f>G264*1</f>
        <v>0</v>
      </c>
      <c r="AP264" s="37">
        <f>G264*(1-1)</f>
        <v>0</v>
      </c>
      <c r="AQ264" s="72" t="s">
        <v>243</v>
      </c>
      <c r="AV264" s="37">
        <f t="shared" si="374"/>
        <v>0</v>
      </c>
      <c r="AW264" s="37">
        <f t="shared" si="375"/>
        <v>0</v>
      </c>
      <c r="AX264" s="37">
        <f t="shared" si="376"/>
        <v>0</v>
      </c>
      <c r="AY264" s="72" t="s">
        <v>890</v>
      </c>
      <c r="AZ264" s="72" t="s">
        <v>816</v>
      </c>
      <c r="BA264" s="49" t="s">
        <v>226</v>
      </c>
      <c r="BC264" s="37">
        <f t="shared" si="377"/>
        <v>0</v>
      </c>
      <c r="BD264" s="37">
        <f t="shared" si="378"/>
        <v>0</v>
      </c>
      <c r="BE264" s="37">
        <v>0</v>
      </c>
      <c r="BF264" s="37">
        <f>264</f>
        <v>264</v>
      </c>
      <c r="BH264" s="37">
        <f t="shared" si="379"/>
        <v>0</v>
      </c>
      <c r="BI264" s="37">
        <f t="shared" si="380"/>
        <v>0</v>
      </c>
      <c r="BJ264" s="37">
        <f t="shared" si="381"/>
        <v>0</v>
      </c>
      <c r="BK264" s="37"/>
      <c r="BL264" s="37">
        <v>766</v>
      </c>
      <c r="BW264" s="37">
        <v>21</v>
      </c>
      <c r="BX264" s="3" t="s">
        <v>908</v>
      </c>
    </row>
    <row r="265" spans="1:76" x14ac:dyDescent="0.25">
      <c r="A265" s="1" t="s">
        <v>909</v>
      </c>
      <c r="B265" s="2" t="s">
        <v>910</v>
      </c>
      <c r="C265" s="279" t="s">
        <v>911</v>
      </c>
      <c r="D265" s="280"/>
      <c r="E265" s="2" t="s">
        <v>329</v>
      </c>
      <c r="F265" s="37">
        <v>8</v>
      </c>
      <c r="G265" s="78">
        <v>0</v>
      </c>
      <c r="H265" s="37">
        <f t="shared" si="360"/>
        <v>0</v>
      </c>
      <c r="I265" s="37">
        <f t="shared" si="361"/>
        <v>0</v>
      </c>
      <c r="J265" s="37">
        <f t="shared" si="362"/>
        <v>0</v>
      </c>
      <c r="K265" s="79" t="s">
        <v>223</v>
      </c>
      <c r="Z265" s="37">
        <f t="shared" si="363"/>
        <v>0</v>
      </c>
      <c r="AB265" s="37">
        <f t="shared" si="364"/>
        <v>0</v>
      </c>
      <c r="AC265" s="37">
        <f t="shared" si="365"/>
        <v>0</v>
      </c>
      <c r="AD265" s="37">
        <f t="shared" si="366"/>
        <v>0</v>
      </c>
      <c r="AE265" s="37">
        <f t="shared" si="367"/>
        <v>0</v>
      </c>
      <c r="AF265" s="37">
        <f t="shared" si="368"/>
        <v>0</v>
      </c>
      <c r="AG265" s="37">
        <f t="shared" si="369"/>
        <v>0</v>
      </c>
      <c r="AH265" s="37">
        <f t="shared" si="370"/>
        <v>0</v>
      </c>
      <c r="AI265" s="49" t="s">
        <v>89</v>
      </c>
      <c r="AJ265" s="37">
        <f t="shared" si="371"/>
        <v>0</v>
      </c>
      <c r="AK265" s="37">
        <f t="shared" si="372"/>
        <v>0</v>
      </c>
      <c r="AL265" s="37">
        <f t="shared" si="373"/>
        <v>0</v>
      </c>
      <c r="AN265" s="37">
        <v>21</v>
      </c>
      <c r="AO265" s="37">
        <f>G265*0.134358578</f>
        <v>0</v>
      </c>
      <c r="AP265" s="37">
        <f>G265*(1-0.134358578)</f>
        <v>0</v>
      </c>
      <c r="AQ265" s="72" t="s">
        <v>243</v>
      </c>
      <c r="AV265" s="37">
        <f t="shared" si="374"/>
        <v>0</v>
      </c>
      <c r="AW265" s="37">
        <f t="shared" si="375"/>
        <v>0</v>
      </c>
      <c r="AX265" s="37">
        <f t="shared" si="376"/>
        <v>0</v>
      </c>
      <c r="AY265" s="72" t="s">
        <v>890</v>
      </c>
      <c r="AZ265" s="72" t="s">
        <v>816</v>
      </c>
      <c r="BA265" s="49" t="s">
        <v>226</v>
      </c>
      <c r="BC265" s="37">
        <f t="shared" si="377"/>
        <v>0</v>
      </c>
      <c r="BD265" s="37">
        <f t="shared" si="378"/>
        <v>0</v>
      </c>
      <c r="BE265" s="37">
        <v>0</v>
      </c>
      <c r="BF265" s="37">
        <f>265</f>
        <v>265</v>
      </c>
      <c r="BH265" s="37">
        <f t="shared" si="379"/>
        <v>0</v>
      </c>
      <c r="BI265" s="37">
        <f t="shared" si="380"/>
        <v>0</v>
      </c>
      <c r="BJ265" s="37">
        <f t="shared" si="381"/>
        <v>0</v>
      </c>
      <c r="BK265" s="37"/>
      <c r="BL265" s="37">
        <v>766</v>
      </c>
      <c r="BW265" s="37">
        <v>21</v>
      </c>
      <c r="BX265" s="3" t="s">
        <v>911</v>
      </c>
    </row>
    <row r="266" spans="1:76" x14ac:dyDescent="0.25">
      <c r="A266" s="1" t="s">
        <v>912</v>
      </c>
      <c r="B266" s="2" t="s">
        <v>913</v>
      </c>
      <c r="C266" s="279" t="s">
        <v>914</v>
      </c>
      <c r="D266" s="280"/>
      <c r="E266" s="2" t="s">
        <v>329</v>
      </c>
      <c r="F266" s="37">
        <v>8</v>
      </c>
      <c r="G266" s="78">
        <v>0</v>
      </c>
      <c r="H266" s="37">
        <f t="shared" si="360"/>
        <v>0</v>
      </c>
      <c r="I266" s="37">
        <f t="shared" si="361"/>
        <v>0</v>
      </c>
      <c r="J266" s="37">
        <f t="shared" si="362"/>
        <v>0</v>
      </c>
      <c r="K266" s="79" t="s">
        <v>223</v>
      </c>
      <c r="Z266" s="37">
        <f t="shared" si="363"/>
        <v>0</v>
      </c>
      <c r="AB266" s="37">
        <f t="shared" si="364"/>
        <v>0</v>
      </c>
      <c r="AC266" s="37">
        <f t="shared" si="365"/>
        <v>0</v>
      </c>
      <c r="AD266" s="37">
        <f t="shared" si="366"/>
        <v>0</v>
      </c>
      <c r="AE266" s="37">
        <f t="shared" si="367"/>
        <v>0</v>
      </c>
      <c r="AF266" s="37">
        <f t="shared" si="368"/>
        <v>0</v>
      </c>
      <c r="AG266" s="37">
        <f t="shared" si="369"/>
        <v>0</v>
      </c>
      <c r="AH266" s="37">
        <f t="shared" si="370"/>
        <v>0</v>
      </c>
      <c r="AI266" s="49" t="s">
        <v>89</v>
      </c>
      <c r="AJ266" s="37">
        <f t="shared" si="371"/>
        <v>0</v>
      </c>
      <c r="AK266" s="37">
        <f t="shared" si="372"/>
        <v>0</v>
      </c>
      <c r="AL266" s="37">
        <f t="shared" si="373"/>
        <v>0</v>
      </c>
      <c r="AN266" s="37">
        <v>21</v>
      </c>
      <c r="AO266" s="37">
        <f>G266*1</f>
        <v>0</v>
      </c>
      <c r="AP266" s="37">
        <f>G266*(1-1)</f>
        <v>0</v>
      </c>
      <c r="AQ266" s="72" t="s">
        <v>243</v>
      </c>
      <c r="AV266" s="37">
        <f t="shared" si="374"/>
        <v>0</v>
      </c>
      <c r="AW266" s="37">
        <f t="shared" si="375"/>
        <v>0</v>
      </c>
      <c r="AX266" s="37">
        <f t="shared" si="376"/>
        <v>0</v>
      </c>
      <c r="AY266" s="72" t="s">
        <v>890</v>
      </c>
      <c r="AZ266" s="72" t="s">
        <v>816</v>
      </c>
      <c r="BA266" s="49" t="s">
        <v>226</v>
      </c>
      <c r="BC266" s="37">
        <f t="shared" si="377"/>
        <v>0</v>
      </c>
      <c r="BD266" s="37">
        <f t="shared" si="378"/>
        <v>0</v>
      </c>
      <c r="BE266" s="37">
        <v>0</v>
      </c>
      <c r="BF266" s="37">
        <f>266</f>
        <v>266</v>
      </c>
      <c r="BH266" s="37">
        <f t="shared" si="379"/>
        <v>0</v>
      </c>
      <c r="BI266" s="37">
        <f t="shared" si="380"/>
        <v>0</v>
      </c>
      <c r="BJ266" s="37">
        <f t="shared" si="381"/>
        <v>0</v>
      </c>
      <c r="BK266" s="37"/>
      <c r="BL266" s="37">
        <v>766</v>
      </c>
      <c r="BW266" s="37">
        <v>21</v>
      </c>
      <c r="BX266" s="3" t="s">
        <v>914</v>
      </c>
    </row>
    <row r="267" spans="1:76" x14ac:dyDescent="0.25">
      <c r="A267" s="1" t="s">
        <v>915</v>
      </c>
      <c r="B267" s="2" t="s">
        <v>916</v>
      </c>
      <c r="C267" s="279" t="s">
        <v>917</v>
      </c>
      <c r="D267" s="280"/>
      <c r="E267" s="2" t="s">
        <v>329</v>
      </c>
      <c r="F267" s="37">
        <v>8</v>
      </c>
      <c r="G267" s="78">
        <v>0</v>
      </c>
      <c r="H267" s="37">
        <f t="shared" si="360"/>
        <v>0</v>
      </c>
      <c r="I267" s="37">
        <f t="shared" si="361"/>
        <v>0</v>
      </c>
      <c r="J267" s="37">
        <f t="shared" si="362"/>
        <v>0</v>
      </c>
      <c r="K267" s="79" t="s">
        <v>223</v>
      </c>
      <c r="Z267" s="37">
        <f t="shared" si="363"/>
        <v>0</v>
      </c>
      <c r="AB267" s="37">
        <f t="shared" si="364"/>
        <v>0</v>
      </c>
      <c r="AC267" s="37">
        <f t="shared" si="365"/>
        <v>0</v>
      </c>
      <c r="AD267" s="37">
        <f t="shared" si="366"/>
        <v>0</v>
      </c>
      <c r="AE267" s="37">
        <f t="shared" si="367"/>
        <v>0</v>
      </c>
      <c r="AF267" s="37">
        <f t="shared" si="368"/>
        <v>0</v>
      </c>
      <c r="AG267" s="37">
        <f t="shared" si="369"/>
        <v>0</v>
      </c>
      <c r="AH267" s="37">
        <f t="shared" si="370"/>
        <v>0</v>
      </c>
      <c r="AI267" s="49" t="s">
        <v>89</v>
      </c>
      <c r="AJ267" s="37">
        <f t="shared" si="371"/>
        <v>0</v>
      </c>
      <c r="AK267" s="37">
        <f t="shared" si="372"/>
        <v>0</v>
      </c>
      <c r="AL267" s="37">
        <f t="shared" si="373"/>
        <v>0</v>
      </c>
      <c r="AN267" s="37">
        <v>21</v>
      </c>
      <c r="AO267" s="37">
        <f>G267*1</f>
        <v>0</v>
      </c>
      <c r="AP267" s="37">
        <f>G267*(1-1)</f>
        <v>0</v>
      </c>
      <c r="AQ267" s="72" t="s">
        <v>243</v>
      </c>
      <c r="AV267" s="37">
        <f t="shared" si="374"/>
        <v>0</v>
      </c>
      <c r="AW267" s="37">
        <f t="shared" si="375"/>
        <v>0</v>
      </c>
      <c r="AX267" s="37">
        <f t="shared" si="376"/>
        <v>0</v>
      </c>
      <c r="AY267" s="72" t="s">
        <v>890</v>
      </c>
      <c r="AZ267" s="72" t="s">
        <v>816</v>
      </c>
      <c r="BA267" s="49" t="s">
        <v>226</v>
      </c>
      <c r="BC267" s="37">
        <f t="shared" si="377"/>
        <v>0</v>
      </c>
      <c r="BD267" s="37">
        <f t="shared" si="378"/>
        <v>0</v>
      </c>
      <c r="BE267" s="37">
        <v>0</v>
      </c>
      <c r="BF267" s="37">
        <f>267</f>
        <v>267</v>
      </c>
      <c r="BH267" s="37">
        <f t="shared" si="379"/>
        <v>0</v>
      </c>
      <c r="BI267" s="37">
        <f t="shared" si="380"/>
        <v>0</v>
      </c>
      <c r="BJ267" s="37">
        <f t="shared" si="381"/>
        <v>0</v>
      </c>
      <c r="BK267" s="37"/>
      <c r="BL267" s="37">
        <v>766</v>
      </c>
      <c r="BW267" s="37">
        <v>21</v>
      </c>
      <c r="BX267" s="3" t="s">
        <v>917</v>
      </c>
    </row>
    <row r="268" spans="1:76" x14ac:dyDescent="0.25">
      <c r="A268" s="1" t="s">
        <v>918</v>
      </c>
      <c r="B268" s="2" t="s">
        <v>919</v>
      </c>
      <c r="C268" s="279" t="s">
        <v>920</v>
      </c>
      <c r="D268" s="280"/>
      <c r="E268" s="2" t="s">
        <v>329</v>
      </c>
      <c r="F268" s="37">
        <v>1</v>
      </c>
      <c r="G268" s="78">
        <v>0</v>
      </c>
      <c r="H268" s="37">
        <f t="shared" si="360"/>
        <v>0</v>
      </c>
      <c r="I268" s="37">
        <f t="shared" si="361"/>
        <v>0</v>
      </c>
      <c r="J268" s="37">
        <f t="shared" si="362"/>
        <v>0</v>
      </c>
      <c r="K268" s="79" t="s">
        <v>223</v>
      </c>
      <c r="Z268" s="37">
        <f t="shared" si="363"/>
        <v>0</v>
      </c>
      <c r="AB268" s="37">
        <f t="shared" si="364"/>
        <v>0</v>
      </c>
      <c r="AC268" s="37">
        <f t="shared" si="365"/>
        <v>0</v>
      </c>
      <c r="AD268" s="37">
        <f t="shared" si="366"/>
        <v>0</v>
      </c>
      <c r="AE268" s="37">
        <f t="shared" si="367"/>
        <v>0</v>
      </c>
      <c r="AF268" s="37">
        <f t="shared" si="368"/>
        <v>0</v>
      </c>
      <c r="AG268" s="37">
        <f t="shared" si="369"/>
        <v>0</v>
      </c>
      <c r="AH268" s="37">
        <f t="shared" si="370"/>
        <v>0</v>
      </c>
      <c r="AI268" s="49" t="s">
        <v>89</v>
      </c>
      <c r="AJ268" s="37">
        <f t="shared" si="371"/>
        <v>0</v>
      </c>
      <c r="AK268" s="37">
        <f t="shared" si="372"/>
        <v>0</v>
      </c>
      <c r="AL268" s="37">
        <f t="shared" si="373"/>
        <v>0</v>
      </c>
      <c r="AN268" s="37">
        <v>21</v>
      </c>
      <c r="AO268" s="37">
        <f>G268*0.123717923</f>
        <v>0</v>
      </c>
      <c r="AP268" s="37">
        <f>G268*(1-0.123717923)</f>
        <v>0</v>
      </c>
      <c r="AQ268" s="72" t="s">
        <v>243</v>
      </c>
      <c r="AV268" s="37">
        <f t="shared" si="374"/>
        <v>0</v>
      </c>
      <c r="AW268" s="37">
        <f t="shared" si="375"/>
        <v>0</v>
      </c>
      <c r="AX268" s="37">
        <f t="shared" si="376"/>
        <v>0</v>
      </c>
      <c r="AY268" s="72" t="s">
        <v>890</v>
      </c>
      <c r="AZ268" s="72" t="s">
        <v>816</v>
      </c>
      <c r="BA268" s="49" t="s">
        <v>226</v>
      </c>
      <c r="BC268" s="37">
        <f t="shared" si="377"/>
        <v>0</v>
      </c>
      <c r="BD268" s="37">
        <f t="shared" si="378"/>
        <v>0</v>
      </c>
      <c r="BE268" s="37">
        <v>0</v>
      </c>
      <c r="BF268" s="37">
        <f>268</f>
        <v>268</v>
      </c>
      <c r="BH268" s="37">
        <f t="shared" si="379"/>
        <v>0</v>
      </c>
      <c r="BI268" s="37">
        <f t="shared" si="380"/>
        <v>0</v>
      </c>
      <c r="BJ268" s="37">
        <f t="shared" si="381"/>
        <v>0</v>
      </c>
      <c r="BK268" s="37"/>
      <c r="BL268" s="37">
        <v>766</v>
      </c>
      <c r="BW268" s="37">
        <v>21</v>
      </c>
      <c r="BX268" s="3" t="s">
        <v>920</v>
      </c>
    </row>
    <row r="269" spans="1:76" x14ac:dyDescent="0.25">
      <c r="A269" s="1" t="s">
        <v>921</v>
      </c>
      <c r="B269" s="2" t="s">
        <v>922</v>
      </c>
      <c r="C269" s="279" t="s">
        <v>923</v>
      </c>
      <c r="D269" s="280"/>
      <c r="E269" s="2" t="s">
        <v>329</v>
      </c>
      <c r="F269" s="37">
        <v>1</v>
      </c>
      <c r="G269" s="78">
        <v>0</v>
      </c>
      <c r="H269" s="37">
        <f t="shared" si="360"/>
        <v>0</v>
      </c>
      <c r="I269" s="37">
        <f t="shared" si="361"/>
        <v>0</v>
      </c>
      <c r="J269" s="37">
        <f t="shared" si="362"/>
        <v>0</v>
      </c>
      <c r="K269" s="79" t="s">
        <v>223</v>
      </c>
      <c r="Z269" s="37">
        <f t="shared" si="363"/>
        <v>0</v>
      </c>
      <c r="AB269" s="37">
        <f t="shared" si="364"/>
        <v>0</v>
      </c>
      <c r="AC269" s="37">
        <f t="shared" si="365"/>
        <v>0</v>
      </c>
      <c r="AD269" s="37">
        <f t="shared" si="366"/>
        <v>0</v>
      </c>
      <c r="AE269" s="37">
        <f t="shared" si="367"/>
        <v>0</v>
      </c>
      <c r="AF269" s="37">
        <f t="shared" si="368"/>
        <v>0</v>
      </c>
      <c r="AG269" s="37">
        <f t="shared" si="369"/>
        <v>0</v>
      </c>
      <c r="AH269" s="37">
        <f t="shared" si="370"/>
        <v>0</v>
      </c>
      <c r="AI269" s="49" t="s">
        <v>89</v>
      </c>
      <c r="AJ269" s="37">
        <f t="shared" si="371"/>
        <v>0</v>
      </c>
      <c r="AK269" s="37">
        <f t="shared" si="372"/>
        <v>0</v>
      </c>
      <c r="AL269" s="37">
        <f t="shared" si="373"/>
        <v>0</v>
      </c>
      <c r="AN269" s="37">
        <v>21</v>
      </c>
      <c r="AO269" s="37">
        <f>G269*1</f>
        <v>0</v>
      </c>
      <c r="AP269" s="37">
        <f>G269*(1-1)</f>
        <v>0</v>
      </c>
      <c r="AQ269" s="72" t="s">
        <v>243</v>
      </c>
      <c r="AV269" s="37">
        <f t="shared" si="374"/>
        <v>0</v>
      </c>
      <c r="AW269" s="37">
        <f t="shared" si="375"/>
        <v>0</v>
      </c>
      <c r="AX269" s="37">
        <f t="shared" si="376"/>
        <v>0</v>
      </c>
      <c r="AY269" s="72" t="s">
        <v>890</v>
      </c>
      <c r="AZ269" s="72" t="s">
        <v>816</v>
      </c>
      <c r="BA269" s="49" t="s">
        <v>226</v>
      </c>
      <c r="BC269" s="37">
        <f t="shared" si="377"/>
        <v>0</v>
      </c>
      <c r="BD269" s="37">
        <f t="shared" si="378"/>
        <v>0</v>
      </c>
      <c r="BE269" s="37">
        <v>0</v>
      </c>
      <c r="BF269" s="37">
        <f>269</f>
        <v>269</v>
      </c>
      <c r="BH269" s="37">
        <f t="shared" si="379"/>
        <v>0</v>
      </c>
      <c r="BI269" s="37">
        <f t="shared" si="380"/>
        <v>0</v>
      </c>
      <c r="BJ269" s="37">
        <f t="shared" si="381"/>
        <v>0</v>
      </c>
      <c r="BK269" s="37"/>
      <c r="BL269" s="37">
        <v>766</v>
      </c>
      <c r="BW269" s="37">
        <v>21</v>
      </c>
      <c r="BX269" s="3" t="s">
        <v>923</v>
      </c>
    </row>
    <row r="270" spans="1:76" x14ac:dyDescent="0.25">
      <c r="A270" s="1" t="s">
        <v>924</v>
      </c>
      <c r="B270" s="2" t="s">
        <v>925</v>
      </c>
      <c r="C270" s="279" t="s">
        <v>926</v>
      </c>
      <c r="D270" s="280"/>
      <c r="E270" s="2" t="s">
        <v>329</v>
      </c>
      <c r="F270" s="37">
        <v>1</v>
      </c>
      <c r="G270" s="78">
        <v>0</v>
      </c>
      <c r="H270" s="37">
        <f t="shared" si="360"/>
        <v>0</v>
      </c>
      <c r="I270" s="37">
        <f t="shared" si="361"/>
        <v>0</v>
      </c>
      <c r="J270" s="37">
        <f t="shared" si="362"/>
        <v>0</v>
      </c>
      <c r="K270" s="79" t="s">
        <v>223</v>
      </c>
      <c r="Z270" s="37">
        <f t="shared" si="363"/>
        <v>0</v>
      </c>
      <c r="AB270" s="37">
        <f t="shared" si="364"/>
        <v>0</v>
      </c>
      <c r="AC270" s="37">
        <f t="shared" si="365"/>
        <v>0</v>
      </c>
      <c r="AD270" s="37">
        <f t="shared" si="366"/>
        <v>0</v>
      </c>
      <c r="AE270" s="37">
        <f t="shared" si="367"/>
        <v>0</v>
      </c>
      <c r="AF270" s="37">
        <f t="shared" si="368"/>
        <v>0</v>
      </c>
      <c r="AG270" s="37">
        <f t="shared" si="369"/>
        <v>0</v>
      </c>
      <c r="AH270" s="37">
        <f t="shared" si="370"/>
        <v>0</v>
      </c>
      <c r="AI270" s="49" t="s">
        <v>89</v>
      </c>
      <c r="AJ270" s="37">
        <f t="shared" si="371"/>
        <v>0</v>
      </c>
      <c r="AK270" s="37">
        <f t="shared" si="372"/>
        <v>0</v>
      </c>
      <c r="AL270" s="37">
        <f t="shared" si="373"/>
        <v>0</v>
      </c>
      <c r="AN270" s="37">
        <v>21</v>
      </c>
      <c r="AO270" s="37">
        <f>G270*1</f>
        <v>0</v>
      </c>
      <c r="AP270" s="37">
        <f>G270*(1-1)</f>
        <v>0</v>
      </c>
      <c r="AQ270" s="72" t="s">
        <v>243</v>
      </c>
      <c r="AV270" s="37">
        <f t="shared" si="374"/>
        <v>0</v>
      </c>
      <c r="AW270" s="37">
        <f t="shared" si="375"/>
        <v>0</v>
      </c>
      <c r="AX270" s="37">
        <f t="shared" si="376"/>
        <v>0</v>
      </c>
      <c r="AY270" s="72" t="s">
        <v>890</v>
      </c>
      <c r="AZ270" s="72" t="s">
        <v>816</v>
      </c>
      <c r="BA270" s="49" t="s">
        <v>226</v>
      </c>
      <c r="BC270" s="37">
        <f t="shared" si="377"/>
        <v>0</v>
      </c>
      <c r="BD270" s="37">
        <f t="shared" si="378"/>
        <v>0</v>
      </c>
      <c r="BE270" s="37">
        <v>0</v>
      </c>
      <c r="BF270" s="37">
        <f>270</f>
        <v>270</v>
      </c>
      <c r="BH270" s="37">
        <f t="shared" si="379"/>
        <v>0</v>
      </c>
      <c r="BI270" s="37">
        <f t="shared" si="380"/>
        <v>0</v>
      </c>
      <c r="BJ270" s="37">
        <f t="shared" si="381"/>
        <v>0</v>
      </c>
      <c r="BK270" s="37"/>
      <c r="BL270" s="37">
        <v>766</v>
      </c>
      <c r="BW270" s="37">
        <v>21</v>
      </c>
      <c r="BX270" s="3" t="s">
        <v>926</v>
      </c>
    </row>
    <row r="271" spans="1:76" x14ac:dyDescent="0.25">
      <c r="A271" s="1" t="s">
        <v>927</v>
      </c>
      <c r="B271" s="2" t="s">
        <v>928</v>
      </c>
      <c r="C271" s="279" t="s">
        <v>929</v>
      </c>
      <c r="D271" s="280"/>
      <c r="E271" s="2" t="s">
        <v>329</v>
      </c>
      <c r="F271" s="37">
        <v>5</v>
      </c>
      <c r="G271" s="78">
        <v>0</v>
      </c>
      <c r="H271" s="37">
        <f t="shared" si="360"/>
        <v>0</v>
      </c>
      <c r="I271" s="37">
        <f t="shared" si="361"/>
        <v>0</v>
      </c>
      <c r="J271" s="37">
        <f t="shared" si="362"/>
        <v>0</v>
      </c>
      <c r="K271" s="79" t="s">
        <v>223</v>
      </c>
      <c r="Z271" s="37">
        <f t="shared" si="363"/>
        <v>0</v>
      </c>
      <c r="AB271" s="37">
        <f t="shared" si="364"/>
        <v>0</v>
      </c>
      <c r="AC271" s="37">
        <f t="shared" si="365"/>
        <v>0</v>
      </c>
      <c r="AD271" s="37">
        <f t="shared" si="366"/>
        <v>0</v>
      </c>
      <c r="AE271" s="37">
        <f t="shared" si="367"/>
        <v>0</v>
      </c>
      <c r="AF271" s="37">
        <f t="shared" si="368"/>
        <v>0</v>
      </c>
      <c r="AG271" s="37">
        <f t="shared" si="369"/>
        <v>0</v>
      </c>
      <c r="AH271" s="37">
        <f t="shared" si="370"/>
        <v>0</v>
      </c>
      <c r="AI271" s="49" t="s">
        <v>89</v>
      </c>
      <c r="AJ271" s="37">
        <f t="shared" si="371"/>
        <v>0</v>
      </c>
      <c r="AK271" s="37">
        <f t="shared" si="372"/>
        <v>0</v>
      </c>
      <c r="AL271" s="37">
        <f t="shared" si="373"/>
        <v>0</v>
      </c>
      <c r="AN271" s="37">
        <v>21</v>
      </c>
      <c r="AO271" s="37">
        <f>G271*0.111986967</f>
        <v>0</v>
      </c>
      <c r="AP271" s="37">
        <f>G271*(1-0.111986967)</f>
        <v>0</v>
      </c>
      <c r="AQ271" s="72" t="s">
        <v>243</v>
      </c>
      <c r="AV271" s="37">
        <f t="shared" si="374"/>
        <v>0</v>
      </c>
      <c r="AW271" s="37">
        <f t="shared" si="375"/>
        <v>0</v>
      </c>
      <c r="AX271" s="37">
        <f t="shared" si="376"/>
        <v>0</v>
      </c>
      <c r="AY271" s="72" t="s">
        <v>890</v>
      </c>
      <c r="AZ271" s="72" t="s">
        <v>816</v>
      </c>
      <c r="BA271" s="49" t="s">
        <v>226</v>
      </c>
      <c r="BC271" s="37">
        <f t="shared" si="377"/>
        <v>0</v>
      </c>
      <c r="BD271" s="37">
        <f t="shared" si="378"/>
        <v>0</v>
      </c>
      <c r="BE271" s="37">
        <v>0</v>
      </c>
      <c r="BF271" s="37">
        <f>271</f>
        <v>271</v>
      </c>
      <c r="BH271" s="37">
        <f t="shared" si="379"/>
        <v>0</v>
      </c>
      <c r="BI271" s="37">
        <f t="shared" si="380"/>
        <v>0</v>
      </c>
      <c r="BJ271" s="37">
        <f t="shared" si="381"/>
        <v>0</v>
      </c>
      <c r="BK271" s="37"/>
      <c r="BL271" s="37">
        <v>766</v>
      </c>
      <c r="BW271" s="37">
        <v>21</v>
      </c>
      <c r="BX271" s="3" t="s">
        <v>929</v>
      </c>
    </row>
    <row r="272" spans="1:76" x14ac:dyDescent="0.25">
      <c r="A272" s="1" t="s">
        <v>930</v>
      </c>
      <c r="B272" s="2" t="s">
        <v>931</v>
      </c>
      <c r="C272" s="279" t="s">
        <v>932</v>
      </c>
      <c r="D272" s="280"/>
      <c r="E272" s="2" t="s">
        <v>329</v>
      </c>
      <c r="F272" s="37">
        <v>5</v>
      </c>
      <c r="G272" s="78">
        <v>0</v>
      </c>
      <c r="H272" s="37">
        <f t="shared" si="360"/>
        <v>0</v>
      </c>
      <c r="I272" s="37">
        <f t="shared" si="361"/>
        <v>0</v>
      </c>
      <c r="J272" s="37">
        <f t="shared" si="362"/>
        <v>0</v>
      </c>
      <c r="K272" s="79" t="s">
        <v>223</v>
      </c>
      <c r="Z272" s="37">
        <f t="shared" si="363"/>
        <v>0</v>
      </c>
      <c r="AB272" s="37">
        <f t="shared" si="364"/>
        <v>0</v>
      </c>
      <c r="AC272" s="37">
        <f t="shared" si="365"/>
        <v>0</v>
      </c>
      <c r="AD272" s="37">
        <f t="shared" si="366"/>
        <v>0</v>
      </c>
      <c r="AE272" s="37">
        <f t="shared" si="367"/>
        <v>0</v>
      </c>
      <c r="AF272" s="37">
        <f t="shared" si="368"/>
        <v>0</v>
      </c>
      <c r="AG272" s="37">
        <f t="shared" si="369"/>
        <v>0</v>
      </c>
      <c r="AH272" s="37">
        <f t="shared" si="370"/>
        <v>0</v>
      </c>
      <c r="AI272" s="49" t="s">
        <v>89</v>
      </c>
      <c r="AJ272" s="37">
        <f t="shared" si="371"/>
        <v>0</v>
      </c>
      <c r="AK272" s="37">
        <f t="shared" si="372"/>
        <v>0</v>
      </c>
      <c r="AL272" s="37">
        <f t="shared" si="373"/>
        <v>0</v>
      </c>
      <c r="AN272" s="37">
        <v>21</v>
      </c>
      <c r="AO272" s="37">
        <f>G272*1</f>
        <v>0</v>
      </c>
      <c r="AP272" s="37">
        <f>G272*(1-1)</f>
        <v>0</v>
      </c>
      <c r="AQ272" s="72" t="s">
        <v>243</v>
      </c>
      <c r="AV272" s="37">
        <f t="shared" si="374"/>
        <v>0</v>
      </c>
      <c r="AW272" s="37">
        <f t="shared" si="375"/>
        <v>0</v>
      </c>
      <c r="AX272" s="37">
        <f t="shared" si="376"/>
        <v>0</v>
      </c>
      <c r="AY272" s="72" t="s">
        <v>890</v>
      </c>
      <c r="AZ272" s="72" t="s">
        <v>816</v>
      </c>
      <c r="BA272" s="49" t="s">
        <v>226</v>
      </c>
      <c r="BC272" s="37">
        <f t="shared" si="377"/>
        <v>0</v>
      </c>
      <c r="BD272" s="37">
        <f t="shared" si="378"/>
        <v>0</v>
      </c>
      <c r="BE272" s="37">
        <v>0</v>
      </c>
      <c r="BF272" s="37">
        <f>272</f>
        <v>272</v>
      </c>
      <c r="BH272" s="37">
        <f t="shared" si="379"/>
        <v>0</v>
      </c>
      <c r="BI272" s="37">
        <f t="shared" si="380"/>
        <v>0</v>
      </c>
      <c r="BJ272" s="37">
        <f t="shared" si="381"/>
        <v>0</v>
      </c>
      <c r="BK272" s="37"/>
      <c r="BL272" s="37">
        <v>766</v>
      </c>
      <c r="BW272" s="37">
        <v>21</v>
      </c>
      <c r="BX272" s="3" t="s">
        <v>932</v>
      </c>
    </row>
    <row r="273" spans="1:76" x14ac:dyDescent="0.25">
      <c r="A273" s="1" t="s">
        <v>933</v>
      </c>
      <c r="B273" s="2" t="s">
        <v>934</v>
      </c>
      <c r="C273" s="279" t="s">
        <v>935</v>
      </c>
      <c r="D273" s="280"/>
      <c r="E273" s="2" t="s">
        <v>329</v>
      </c>
      <c r="F273" s="37">
        <v>5</v>
      </c>
      <c r="G273" s="78">
        <v>0</v>
      </c>
      <c r="H273" s="37">
        <f t="shared" si="360"/>
        <v>0</v>
      </c>
      <c r="I273" s="37">
        <f t="shared" si="361"/>
        <v>0</v>
      </c>
      <c r="J273" s="37">
        <f t="shared" si="362"/>
        <v>0</v>
      </c>
      <c r="K273" s="79" t="s">
        <v>223</v>
      </c>
      <c r="Z273" s="37">
        <f t="shared" si="363"/>
        <v>0</v>
      </c>
      <c r="AB273" s="37">
        <f t="shared" si="364"/>
        <v>0</v>
      </c>
      <c r="AC273" s="37">
        <f t="shared" si="365"/>
        <v>0</v>
      </c>
      <c r="AD273" s="37">
        <f t="shared" si="366"/>
        <v>0</v>
      </c>
      <c r="AE273" s="37">
        <f t="shared" si="367"/>
        <v>0</v>
      </c>
      <c r="AF273" s="37">
        <f t="shared" si="368"/>
        <v>0</v>
      </c>
      <c r="AG273" s="37">
        <f t="shared" si="369"/>
        <v>0</v>
      </c>
      <c r="AH273" s="37">
        <f t="shared" si="370"/>
        <v>0</v>
      </c>
      <c r="AI273" s="49" t="s">
        <v>89</v>
      </c>
      <c r="AJ273" s="37">
        <f t="shared" si="371"/>
        <v>0</v>
      </c>
      <c r="AK273" s="37">
        <f t="shared" si="372"/>
        <v>0</v>
      </c>
      <c r="AL273" s="37">
        <f t="shared" si="373"/>
        <v>0</v>
      </c>
      <c r="AN273" s="37">
        <v>21</v>
      </c>
      <c r="AO273" s="37">
        <f>G273*1</f>
        <v>0</v>
      </c>
      <c r="AP273" s="37">
        <f>G273*(1-1)</f>
        <v>0</v>
      </c>
      <c r="AQ273" s="72" t="s">
        <v>243</v>
      </c>
      <c r="AV273" s="37">
        <f t="shared" si="374"/>
        <v>0</v>
      </c>
      <c r="AW273" s="37">
        <f t="shared" si="375"/>
        <v>0</v>
      </c>
      <c r="AX273" s="37">
        <f t="shared" si="376"/>
        <v>0</v>
      </c>
      <c r="AY273" s="72" t="s">
        <v>890</v>
      </c>
      <c r="AZ273" s="72" t="s">
        <v>816</v>
      </c>
      <c r="BA273" s="49" t="s">
        <v>226</v>
      </c>
      <c r="BC273" s="37">
        <f t="shared" si="377"/>
        <v>0</v>
      </c>
      <c r="BD273" s="37">
        <f t="shared" si="378"/>
        <v>0</v>
      </c>
      <c r="BE273" s="37">
        <v>0</v>
      </c>
      <c r="BF273" s="37">
        <f>273</f>
        <v>273</v>
      </c>
      <c r="BH273" s="37">
        <f t="shared" si="379"/>
        <v>0</v>
      </c>
      <c r="BI273" s="37">
        <f t="shared" si="380"/>
        <v>0</v>
      </c>
      <c r="BJ273" s="37">
        <f t="shared" si="381"/>
        <v>0</v>
      </c>
      <c r="BK273" s="37"/>
      <c r="BL273" s="37">
        <v>766</v>
      </c>
      <c r="BW273" s="37">
        <v>21</v>
      </c>
      <c r="BX273" s="3" t="s">
        <v>935</v>
      </c>
    </row>
    <row r="274" spans="1:76" ht="25.5" x14ac:dyDescent="0.25">
      <c r="A274" s="1" t="s">
        <v>936</v>
      </c>
      <c r="B274" s="2" t="s">
        <v>937</v>
      </c>
      <c r="C274" s="279" t="s">
        <v>938</v>
      </c>
      <c r="D274" s="280"/>
      <c r="E274" s="2" t="s">
        <v>329</v>
      </c>
      <c r="F274" s="37">
        <v>2</v>
      </c>
      <c r="G274" s="78">
        <v>0</v>
      </c>
      <c r="H274" s="37">
        <f t="shared" si="360"/>
        <v>0</v>
      </c>
      <c r="I274" s="37">
        <f t="shared" si="361"/>
        <v>0</v>
      </c>
      <c r="J274" s="37">
        <f t="shared" si="362"/>
        <v>0</v>
      </c>
      <c r="K274" s="79" t="s">
        <v>223</v>
      </c>
      <c r="Z274" s="37">
        <f t="shared" si="363"/>
        <v>0</v>
      </c>
      <c r="AB274" s="37">
        <f t="shared" si="364"/>
        <v>0</v>
      </c>
      <c r="AC274" s="37">
        <f t="shared" si="365"/>
        <v>0</v>
      </c>
      <c r="AD274" s="37">
        <f t="shared" si="366"/>
        <v>0</v>
      </c>
      <c r="AE274" s="37">
        <f t="shared" si="367"/>
        <v>0</v>
      </c>
      <c r="AF274" s="37">
        <f t="shared" si="368"/>
        <v>0</v>
      </c>
      <c r="AG274" s="37">
        <f t="shared" si="369"/>
        <v>0</v>
      </c>
      <c r="AH274" s="37">
        <f t="shared" si="370"/>
        <v>0</v>
      </c>
      <c r="AI274" s="49" t="s">
        <v>89</v>
      </c>
      <c r="AJ274" s="37">
        <f t="shared" si="371"/>
        <v>0</v>
      </c>
      <c r="AK274" s="37">
        <f t="shared" si="372"/>
        <v>0</v>
      </c>
      <c r="AL274" s="37">
        <f t="shared" si="373"/>
        <v>0</v>
      </c>
      <c r="AN274" s="37">
        <v>21</v>
      </c>
      <c r="AO274" s="37">
        <f>G274*0.775521422</f>
        <v>0</v>
      </c>
      <c r="AP274" s="37">
        <f>G274*(1-0.775521422)</f>
        <v>0</v>
      </c>
      <c r="AQ274" s="72" t="s">
        <v>243</v>
      </c>
      <c r="AV274" s="37">
        <f t="shared" si="374"/>
        <v>0</v>
      </c>
      <c r="AW274" s="37">
        <f t="shared" si="375"/>
        <v>0</v>
      </c>
      <c r="AX274" s="37">
        <f t="shared" si="376"/>
        <v>0</v>
      </c>
      <c r="AY274" s="72" t="s">
        <v>890</v>
      </c>
      <c r="AZ274" s="72" t="s">
        <v>816</v>
      </c>
      <c r="BA274" s="49" t="s">
        <v>226</v>
      </c>
      <c r="BC274" s="37">
        <f t="shared" si="377"/>
        <v>0</v>
      </c>
      <c r="BD274" s="37">
        <f t="shared" si="378"/>
        <v>0</v>
      </c>
      <c r="BE274" s="37">
        <v>0</v>
      </c>
      <c r="BF274" s="37">
        <f>274</f>
        <v>274</v>
      </c>
      <c r="BH274" s="37">
        <f t="shared" si="379"/>
        <v>0</v>
      </c>
      <c r="BI274" s="37">
        <f t="shared" si="380"/>
        <v>0</v>
      </c>
      <c r="BJ274" s="37">
        <f t="shared" si="381"/>
        <v>0</v>
      </c>
      <c r="BK274" s="37"/>
      <c r="BL274" s="37">
        <v>766</v>
      </c>
      <c r="BW274" s="37">
        <v>21</v>
      </c>
      <c r="BX274" s="3" t="s">
        <v>938</v>
      </c>
    </row>
    <row r="275" spans="1:76" x14ac:dyDescent="0.25">
      <c r="A275" s="1" t="s">
        <v>939</v>
      </c>
      <c r="B275" s="2" t="s">
        <v>940</v>
      </c>
      <c r="C275" s="279" t="s">
        <v>941</v>
      </c>
      <c r="D275" s="280"/>
      <c r="E275" s="2" t="s">
        <v>329</v>
      </c>
      <c r="F275" s="37">
        <v>3</v>
      </c>
      <c r="G275" s="78">
        <v>0</v>
      </c>
      <c r="H275" s="37">
        <f t="shared" si="360"/>
        <v>0</v>
      </c>
      <c r="I275" s="37">
        <f t="shared" si="361"/>
        <v>0</v>
      </c>
      <c r="J275" s="37">
        <f t="shared" si="362"/>
        <v>0</v>
      </c>
      <c r="K275" s="79" t="s">
        <v>223</v>
      </c>
      <c r="Z275" s="37">
        <f t="shared" si="363"/>
        <v>0</v>
      </c>
      <c r="AB275" s="37">
        <f t="shared" si="364"/>
        <v>0</v>
      </c>
      <c r="AC275" s="37">
        <f t="shared" si="365"/>
        <v>0</v>
      </c>
      <c r="AD275" s="37">
        <f t="shared" si="366"/>
        <v>0</v>
      </c>
      <c r="AE275" s="37">
        <f t="shared" si="367"/>
        <v>0</v>
      </c>
      <c r="AF275" s="37">
        <f t="shared" si="368"/>
        <v>0</v>
      </c>
      <c r="AG275" s="37">
        <f t="shared" si="369"/>
        <v>0</v>
      </c>
      <c r="AH275" s="37">
        <f t="shared" si="370"/>
        <v>0</v>
      </c>
      <c r="AI275" s="49" t="s">
        <v>89</v>
      </c>
      <c r="AJ275" s="37">
        <f t="shared" si="371"/>
        <v>0</v>
      </c>
      <c r="AK275" s="37">
        <f t="shared" si="372"/>
        <v>0</v>
      </c>
      <c r="AL275" s="37">
        <f t="shared" si="373"/>
        <v>0</v>
      </c>
      <c r="AN275" s="37">
        <v>21</v>
      </c>
      <c r="AO275" s="37">
        <f>G275*0.087655055</f>
        <v>0</v>
      </c>
      <c r="AP275" s="37">
        <f>G275*(1-0.087655055)</f>
        <v>0</v>
      </c>
      <c r="AQ275" s="72" t="s">
        <v>243</v>
      </c>
      <c r="AV275" s="37">
        <f t="shared" si="374"/>
        <v>0</v>
      </c>
      <c r="AW275" s="37">
        <f t="shared" si="375"/>
        <v>0</v>
      </c>
      <c r="AX275" s="37">
        <f t="shared" si="376"/>
        <v>0</v>
      </c>
      <c r="AY275" s="72" t="s">
        <v>890</v>
      </c>
      <c r="AZ275" s="72" t="s">
        <v>816</v>
      </c>
      <c r="BA275" s="49" t="s">
        <v>226</v>
      </c>
      <c r="BC275" s="37">
        <f t="shared" si="377"/>
        <v>0</v>
      </c>
      <c r="BD275" s="37">
        <f t="shared" si="378"/>
        <v>0</v>
      </c>
      <c r="BE275" s="37">
        <v>0</v>
      </c>
      <c r="BF275" s="37">
        <f>275</f>
        <v>275</v>
      </c>
      <c r="BH275" s="37">
        <f t="shared" si="379"/>
        <v>0</v>
      </c>
      <c r="BI275" s="37">
        <f t="shared" si="380"/>
        <v>0</v>
      </c>
      <c r="BJ275" s="37">
        <f t="shared" si="381"/>
        <v>0</v>
      </c>
      <c r="BK275" s="37"/>
      <c r="BL275" s="37">
        <v>766</v>
      </c>
      <c r="BW275" s="37">
        <v>21</v>
      </c>
      <c r="BX275" s="3" t="s">
        <v>941</v>
      </c>
    </row>
    <row r="276" spans="1:76" x14ac:dyDescent="0.25">
      <c r="A276" s="1" t="s">
        <v>942</v>
      </c>
      <c r="B276" s="2" t="s">
        <v>943</v>
      </c>
      <c r="C276" s="279" t="s">
        <v>944</v>
      </c>
      <c r="D276" s="280"/>
      <c r="E276" s="2" t="s">
        <v>329</v>
      </c>
      <c r="F276" s="37">
        <v>1</v>
      </c>
      <c r="G276" s="78">
        <v>0</v>
      </c>
      <c r="H276" s="37">
        <f t="shared" si="360"/>
        <v>0</v>
      </c>
      <c r="I276" s="37">
        <f t="shared" si="361"/>
        <v>0</v>
      </c>
      <c r="J276" s="37">
        <f t="shared" si="362"/>
        <v>0</v>
      </c>
      <c r="K276" s="79" t="s">
        <v>334</v>
      </c>
      <c r="Z276" s="37">
        <f t="shared" si="363"/>
        <v>0</v>
      </c>
      <c r="AB276" s="37">
        <f t="shared" si="364"/>
        <v>0</v>
      </c>
      <c r="AC276" s="37">
        <f t="shared" si="365"/>
        <v>0</v>
      </c>
      <c r="AD276" s="37">
        <f t="shared" si="366"/>
        <v>0</v>
      </c>
      <c r="AE276" s="37">
        <f t="shared" si="367"/>
        <v>0</v>
      </c>
      <c r="AF276" s="37">
        <f t="shared" si="368"/>
        <v>0</v>
      </c>
      <c r="AG276" s="37">
        <f t="shared" si="369"/>
        <v>0</v>
      </c>
      <c r="AH276" s="37">
        <f t="shared" si="370"/>
        <v>0</v>
      </c>
      <c r="AI276" s="49" t="s">
        <v>89</v>
      </c>
      <c r="AJ276" s="37">
        <f t="shared" si="371"/>
        <v>0</v>
      </c>
      <c r="AK276" s="37">
        <f t="shared" si="372"/>
        <v>0</v>
      </c>
      <c r="AL276" s="37">
        <f t="shared" si="373"/>
        <v>0</v>
      </c>
      <c r="AN276" s="37">
        <v>21</v>
      </c>
      <c r="AO276" s="37">
        <f>G276*1</f>
        <v>0</v>
      </c>
      <c r="AP276" s="37">
        <f>G276*(1-1)</f>
        <v>0</v>
      </c>
      <c r="AQ276" s="72" t="s">
        <v>243</v>
      </c>
      <c r="AV276" s="37">
        <f t="shared" si="374"/>
        <v>0</v>
      </c>
      <c r="AW276" s="37">
        <f t="shared" si="375"/>
        <v>0</v>
      </c>
      <c r="AX276" s="37">
        <f t="shared" si="376"/>
        <v>0</v>
      </c>
      <c r="AY276" s="72" t="s">
        <v>890</v>
      </c>
      <c r="AZ276" s="72" t="s">
        <v>816</v>
      </c>
      <c r="BA276" s="49" t="s">
        <v>226</v>
      </c>
      <c r="BC276" s="37">
        <f t="shared" si="377"/>
        <v>0</v>
      </c>
      <c r="BD276" s="37">
        <f t="shared" si="378"/>
        <v>0</v>
      </c>
      <c r="BE276" s="37">
        <v>0</v>
      </c>
      <c r="BF276" s="37">
        <f>276</f>
        <v>276</v>
      </c>
      <c r="BH276" s="37">
        <f t="shared" si="379"/>
        <v>0</v>
      </c>
      <c r="BI276" s="37">
        <f t="shared" si="380"/>
        <v>0</v>
      </c>
      <c r="BJ276" s="37">
        <f t="shared" si="381"/>
        <v>0</v>
      </c>
      <c r="BK276" s="37"/>
      <c r="BL276" s="37">
        <v>766</v>
      </c>
      <c r="BW276" s="37">
        <v>21</v>
      </c>
      <c r="BX276" s="3" t="s">
        <v>944</v>
      </c>
    </row>
    <row r="277" spans="1:76" x14ac:dyDescent="0.25">
      <c r="A277" s="1" t="s">
        <v>945</v>
      </c>
      <c r="B277" s="2" t="s">
        <v>946</v>
      </c>
      <c r="C277" s="279" t="s">
        <v>947</v>
      </c>
      <c r="D277" s="280"/>
      <c r="E277" s="2" t="s">
        <v>329</v>
      </c>
      <c r="F277" s="37">
        <v>1</v>
      </c>
      <c r="G277" s="78">
        <v>0</v>
      </c>
      <c r="H277" s="37">
        <f t="shared" si="360"/>
        <v>0</v>
      </c>
      <c r="I277" s="37">
        <f t="shared" si="361"/>
        <v>0</v>
      </c>
      <c r="J277" s="37">
        <f t="shared" si="362"/>
        <v>0</v>
      </c>
      <c r="K277" s="79" t="s">
        <v>334</v>
      </c>
      <c r="Z277" s="37">
        <f t="shared" si="363"/>
        <v>0</v>
      </c>
      <c r="AB277" s="37">
        <f t="shared" si="364"/>
        <v>0</v>
      </c>
      <c r="AC277" s="37">
        <f t="shared" si="365"/>
        <v>0</v>
      </c>
      <c r="AD277" s="37">
        <f t="shared" si="366"/>
        <v>0</v>
      </c>
      <c r="AE277" s="37">
        <f t="shared" si="367"/>
        <v>0</v>
      </c>
      <c r="AF277" s="37">
        <f t="shared" si="368"/>
        <v>0</v>
      </c>
      <c r="AG277" s="37">
        <f t="shared" si="369"/>
        <v>0</v>
      </c>
      <c r="AH277" s="37">
        <f t="shared" si="370"/>
        <v>0</v>
      </c>
      <c r="AI277" s="49" t="s">
        <v>89</v>
      </c>
      <c r="AJ277" s="37">
        <f t="shared" si="371"/>
        <v>0</v>
      </c>
      <c r="AK277" s="37">
        <f t="shared" si="372"/>
        <v>0</v>
      </c>
      <c r="AL277" s="37">
        <f t="shared" si="373"/>
        <v>0</v>
      </c>
      <c r="AN277" s="37">
        <v>21</v>
      </c>
      <c r="AO277" s="37">
        <f>G277*1</f>
        <v>0</v>
      </c>
      <c r="AP277" s="37">
        <f>G277*(1-1)</f>
        <v>0</v>
      </c>
      <c r="AQ277" s="72" t="s">
        <v>243</v>
      </c>
      <c r="AV277" s="37">
        <f t="shared" si="374"/>
        <v>0</v>
      </c>
      <c r="AW277" s="37">
        <f t="shared" si="375"/>
        <v>0</v>
      </c>
      <c r="AX277" s="37">
        <f t="shared" si="376"/>
        <v>0</v>
      </c>
      <c r="AY277" s="72" t="s">
        <v>890</v>
      </c>
      <c r="AZ277" s="72" t="s">
        <v>816</v>
      </c>
      <c r="BA277" s="49" t="s">
        <v>226</v>
      </c>
      <c r="BC277" s="37">
        <f t="shared" si="377"/>
        <v>0</v>
      </c>
      <c r="BD277" s="37">
        <f t="shared" si="378"/>
        <v>0</v>
      </c>
      <c r="BE277" s="37">
        <v>0</v>
      </c>
      <c r="BF277" s="37">
        <f>277</f>
        <v>277</v>
      </c>
      <c r="BH277" s="37">
        <f t="shared" si="379"/>
        <v>0</v>
      </c>
      <c r="BI277" s="37">
        <f t="shared" si="380"/>
        <v>0</v>
      </c>
      <c r="BJ277" s="37">
        <f t="shared" si="381"/>
        <v>0</v>
      </c>
      <c r="BK277" s="37"/>
      <c r="BL277" s="37">
        <v>766</v>
      </c>
      <c r="BW277" s="37">
        <v>21</v>
      </c>
      <c r="BX277" s="3" t="s">
        <v>947</v>
      </c>
    </row>
    <row r="278" spans="1:76" x14ac:dyDescent="0.25">
      <c r="A278" s="1" t="s">
        <v>948</v>
      </c>
      <c r="B278" s="2" t="s">
        <v>949</v>
      </c>
      <c r="C278" s="279" t="s">
        <v>950</v>
      </c>
      <c r="D278" s="280"/>
      <c r="E278" s="2" t="s">
        <v>329</v>
      </c>
      <c r="F278" s="37">
        <v>1</v>
      </c>
      <c r="G278" s="78">
        <v>0</v>
      </c>
      <c r="H278" s="37">
        <f t="shared" si="360"/>
        <v>0</v>
      </c>
      <c r="I278" s="37">
        <f t="shared" si="361"/>
        <v>0</v>
      </c>
      <c r="J278" s="37">
        <f t="shared" si="362"/>
        <v>0</v>
      </c>
      <c r="K278" s="79" t="s">
        <v>334</v>
      </c>
      <c r="Z278" s="37">
        <f t="shared" si="363"/>
        <v>0</v>
      </c>
      <c r="AB278" s="37">
        <f t="shared" si="364"/>
        <v>0</v>
      </c>
      <c r="AC278" s="37">
        <f t="shared" si="365"/>
        <v>0</v>
      </c>
      <c r="AD278" s="37">
        <f t="shared" si="366"/>
        <v>0</v>
      </c>
      <c r="AE278" s="37">
        <f t="shared" si="367"/>
        <v>0</v>
      </c>
      <c r="AF278" s="37">
        <f t="shared" si="368"/>
        <v>0</v>
      </c>
      <c r="AG278" s="37">
        <f t="shared" si="369"/>
        <v>0</v>
      </c>
      <c r="AH278" s="37">
        <f t="shared" si="370"/>
        <v>0</v>
      </c>
      <c r="AI278" s="49" t="s">
        <v>89</v>
      </c>
      <c r="AJ278" s="37">
        <f t="shared" si="371"/>
        <v>0</v>
      </c>
      <c r="AK278" s="37">
        <f t="shared" si="372"/>
        <v>0</v>
      </c>
      <c r="AL278" s="37">
        <f t="shared" si="373"/>
        <v>0</v>
      </c>
      <c r="AN278" s="37">
        <v>21</v>
      </c>
      <c r="AO278" s="37">
        <f>G278*1</f>
        <v>0</v>
      </c>
      <c r="AP278" s="37">
        <f>G278*(1-1)</f>
        <v>0</v>
      </c>
      <c r="AQ278" s="72" t="s">
        <v>243</v>
      </c>
      <c r="AV278" s="37">
        <f t="shared" si="374"/>
        <v>0</v>
      </c>
      <c r="AW278" s="37">
        <f t="shared" si="375"/>
        <v>0</v>
      </c>
      <c r="AX278" s="37">
        <f t="shared" si="376"/>
        <v>0</v>
      </c>
      <c r="AY278" s="72" t="s">
        <v>890</v>
      </c>
      <c r="AZ278" s="72" t="s">
        <v>816</v>
      </c>
      <c r="BA278" s="49" t="s">
        <v>226</v>
      </c>
      <c r="BC278" s="37">
        <f t="shared" si="377"/>
        <v>0</v>
      </c>
      <c r="BD278" s="37">
        <f t="shared" si="378"/>
        <v>0</v>
      </c>
      <c r="BE278" s="37">
        <v>0</v>
      </c>
      <c r="BF278" s="37">
        <f>278</f>
        <v>278</v>
      </c>
      <c r="BH278" s="37">
        <f t="shared" si="379"/>
        <v>0</v>
      </c>
      <c r="BI278" s="37">
        <f t="shared" si="380"/>
        <v>0</v>
      </c>
      <c r="BJ278" s="37">
        <f t="shared" si="381"/>
        <v>0</v>
      </c>
      <c r="BK278" s="37"/>
      <c r="BL278" s="37">
        <v>766</v>
      </c>
      <c r="BW278" s="37">
        <v>21</v>
      </c>
      <c r="BX278" s="3" t="s">
        <v>950</v>
      </c>
    </row>
    <row r="279" spans="1:76" x14ac:dyDescent="0.25">
      <c r="A279" s="1" t="s">
        <v>951</v>
      </c>
      <c r="B279" s="2" t="s">
        <v>952</v>
      </c>
      <c r="C279" s="279" t="s">
        <v>953</v>
      </c>
      <c r="D279" s="280"/>
      <c r="E279" s="2" t="s">
        <v>329</v>
      </c>
      <c r="F279" s="37">
        <v>3</v>
      </c>
      <c r="G279" s="78">
        <v>0</v>
      </c>
      <c r="H279" s="37">
        <f t="shared" si="360"/>
        <v>0</v>
      </c>
      <c r="I279" s="37">
        <f t="shared" si="361"/>
        <v>0</v>
      </c>
      <c r="J279" s="37">
        <f t="shared" si="362"/>
        <v>0</v>
      </c>
      <c r="K279" s="79" t="s">
        <v>223</v>
      </c>
      <c r="Z279" s="37">
        <f t="shared" si="363"/>
        <v>0</v>
      </c>
      <c r="AB279" s="37">
        <f t="shared" si="364"/>
        <v>0</v>
      </c>
      <c r="AC279" s="37">
        <f t="shared" si="365"/>
        <v>0</v>
      </c>
      <c r="AD279" s="37">
        <f t="shared" si="366"/>
        <v>0</v>
      </c>
      <c r="AE279" s="37">
        <f t="shared" si="367"/>
        <v>0</v>
      </c>
      <c r="AF279" s="37">
        <f t="shared" si="368"/>
        <v>0</v>
      </c>
      <c r="AG279" s="37">
        <f t="shared" si="369"/>
        <v>0</v>
      </c>
      <c r="AH279" s="37">
        <f t="shared" si="370"/>
        <v>0</v>
      </c>
      <c r="AI279" s="49" t="s">
        <v>89</v>
      </c>
      <c r="AJ279" s="37">
        <f t="shared" si="371"/>
        <v>0</v>
      </c>
      <c r="AK279" s="37">
        <f t="shared" si="372"/>
        <v>0</v>
      </c>
      <c r="AL279" s="37">
        <f t="shared" si="373"/>
        <v>0</v>
      </c>
      <c r="AN279" s="37">
        <v>21</v>
      </c>
      <c r="AO279" s="37">
        <f>G279*0.095742499</f>
        <v>0</v>
      </c>
      <c r="AP279" s="37">
        <f>G279*(1-0.095742499)</f>
        <v>0</v>
      </c>
      <c r="AQ279" s="72" t="s">
        <v>243</v>
      </c>
      <c r="AV279" s="37">
        <f t="shared" si="374"/>
        <v>0</v>
      </c>
      <c r="AW279" s="37">
        <f t="shared" si="375"/>
        <v>0</v>
      </c>
      <c r="AX279" s="37">
        <f t="shared" si="376"/>
        <v>0</v>
      </c>
      <c r="AY279" s="72" t="s">
        <v>890</v>
      </c>
      <c r="AZ279" s="72" t="s">
        <v>816</v>
      </c>
      <c r="BA279" s="49" t="s">
        <v>226</v>
      </c>
      <c r="BC279" s="37">
        <f t="shared" si="377"/>
        <v>0</v>
      </c>
      <c r="BD279" s="37">
        <f t="shared" si="378"/>
        <v>0</v>
      </c>
      <c r="BE279" s="37">
        <v>0</v>
      </c>
      <c r="BF279" s="37">
        <f>279</f>
        <v>279</v>
      </c>
      <c r="BH279" s="37">
        <f t="shared" si="379"/>
        <v>0</v>
      </c>
      <c r="BI279" s="37">
        <f t="shared" si="380"/>
        <v>0</v>
      </c>
      <c r="BJ279" s="37">
        <f t="shared" si="381"/>
        <v>0</v>
      </c>
      <c r="BK279" s="37"/>
      <c r="BL279" s="37">
        <v>766</v>
      </c>
      <c r="BW279" s="37">
        <v>21</v>
      </c>
      <c r="BX279" s="3" t="s">
        <v>953</v>
      </c>
    </row>
    <row r="280" spans="1:76" x14ac:dyDescent="0.25">
      <c r="A280" s="1" t="s">
        <v>954</v>
      </c>
      <c r="B280" s="2" t="s">
        <v>955</v>
      </c>
      <c r="C280" s="279" t="s">
        <v>956</v>
      </c>
      <c r="D280" s="280"/>
      <c r="E280" s="2" t="s">
        <v>329</v>
      </c>
      <c r="F280" s="37">
        <v>1</v>
      </c>
      <c r="G280" s="78">
        <v>0</v>
      </c>
      <c r="H280" s="37">
        <f t="shared" si="360"/>
        <v>0</v>
      </c>
      <c r="I280" s="37">
        <f t="shared" si="361"/>
        <v>0</v>
      </c>
      <c r="J280" s="37">
        <f t="shared" si="362"/>
        <v>0</v>
      </c>
      <c r="K280" s="79" t="s">
        <v>334</v>
      </c>
      <c r="Z280" s="37">
        <f t="shared" si="363"/>
        <v>0</v>
      </c>
      <c r="AB280" s="37">
        <f t="shared" si="364"/>
        <v>0</v>
      </c>
      <c r="AC280" s="37">
        <f t="shared" si="365"/>
        <v>0</v>
      </c>
      <c r="AD280" s="37">
        <f t="shared" si="366"/>
        <v>0</v>
      </c>
      <c r="AE280" s="37">
        <f t="shared" si="367"/>
        <v>0</v>
      </c>
      <c r="AF280" s="37">
        <f t="shared" si="368"/>
        <v>0</v>
      </c>
      <c r="AG280" s="37">
        <f t="shared" si="369"/>
        <v>0</v>
      </c>
      <c r="AH280" s="37">
        <f t="shared" si="370"/>
        <v>0</v>
      </c>
      <c r="AI280" s="49" t="s">
        <v>89</v>
      </c>
      <c r="AJ280" s="37">
        <f t="shared" si="371"/>
        <v>0</v>
      </c>
      <c r="AK280" s="37">
        <f t="shared" si="372"/>
        <v>0</v>
      </c>
      <c r="AL280" s="37">
        <f t="shared" si="373"/>
        <v>0</v>
      </c>
      <c r="AN280" s="37">
        <v>21</v>
      </c>
      <c r="AO280" s="37">
        <f>G280*1</f>
        <v>0</v>
      </c>
      <c r="AP280" s="37">
        <f>G280*(1-1)</f>
        <v>0</v>
      </c>
      <c r="AQ280" s="72" t="s">
        <v>243</v>
      </c>
      <c r="AV280" s="37">
        <f t="shared" si="374"/>
        <v>0</v>
      </c>
      <c r="AW280" s="37">
        <f t="shared" si="375"/>
        <v>0</v>
      </c>
      <c r="AX280" s="37">
        <f t="shared" si="376"/>
        <v>0</v>
      </c>
      <c r="AY280" s="72" t="s">
        <v>890</v>
      </c>
      <c r="AZ280" s="72" t="s">
        <v>816</v>
      </c>
      <c r="BA280" s="49" t="s">
        <v>226</v>
      </c>
      <c r="BC280" s="37">
        <f t="shared" si="377"/>
        <v>0</v>
      </c>
      <c r="BD280" s="37">
        <f t="shared" si="378"/>
        <v>0</v>
      </c>
      <c r="BE280" s="37">
        <v>0</v>
      </c>
      <c r="BF280" s="37">
        <f>280</f>
        <v>280</v>
      </c>
      <c r="BH280" s="37">
        <f t="shared" si="379"/>
        <v>0</v>
      </c>
      <c r="BI280" s="37">
        <f t="shared" si="380"/>
        <v>0</v>
      </c>
      <c r="BJ280" s="37">
        <f t="shared" si="381"/>
        <v>0</v>
      </c>
      <c r="BK280" s="37"/>
      <c r="BL280" s="37">
        <v>766</v>
      </c>
      <c r="BW280" s="37">
        <v>21</v>
      </c>
      <c r="BX280" s="3" t="s">
        <v>956</v>
      </c>
    </row>
    <row r="281" spans="1:76" x14ac:dyDescent="0.25">
      <c r="A281" s="1" t="s">
        <v>957</v>
      </c>
      <c r="B281" s="2" t="s">
        <v>958</v>
      </c>
      <c r="C281" s="279" t="s">
        <v>959</v>
      </c>
      <c r="D281" s="280"/>
      <c r="E281" s="2" t="s">
        <v>329</v>
      </c>
      <c r="F281" s="37">
        <v>1</v>
      </c>
      <c r="G281" s="78">
        <v>0</v>
      </c>
      <c r="H281" s="37">
        <f t="shared" si="360"/>
        <v>0</v>
      </c>
      <c r="I281" s="37">
        <f t="shared" si="361"/>
        <v>0</v>
      </c>
      <c r="J281" s="37">
        <f t="shared" si="362"/>
        <v>0</v>
      </c>
      <c r="K281" s="79" t="s">
        <v>334</v>
      </c>
      <c r="Z281" s="37">
        <f t="shared" si="363"/>
        <v>0</v>
      </c>
      <c r="AB281" s="37">
        <f t="shared" si="364"/>
        <v>0</v>
      </c>
      <c r="AC281" s="37">
        <f t="shared" si="365"/>
        <v>0</v>
      </c>
      <c r="AD281" s="37">
        <f t="shared" si="366"/>
        <v>0</v>
      </c>
      <c r="AE281" s="37">
        <f t="shared" si="367"/>
        <v>0</v>
      </c>
      <c r="AF281" s="37">
        <f t="shared" si="368"/>
        <v>0</v>
      </c>
      <c r="AG281" s="37">
        <f t="shared" si="369"/>
        <v>0</v>
      </c>
      <c r="AH281" s="37">
        <f t="shared" si="370"/>
        <v>0</v>
      </c>
      <c r="AI281" s="49" t="s">
        <v>89</v>
      </c>
      <c r="AJ281" s="37">
        <f t="shared" si="371"/>
        <v>0</v>
      </c>
      <c r="AK281" s="37">
        <f t="shared" si="372"/>
        <v>0</v>
      </c>
      <c r="AL281" s="37">
        <f t="shared" si="373"/>
        <v>0</v>
      </c>
      <c r="AN281" s="37">
        <v>21</v>
      </c>
      <c r="AO281" s="37">
        <f>G281*1</f>
        <v>0</v>
      </c>
      <c r="AP281" s="37">
        <f>G281*(1-1)</f>
        <v>0</v>
      </c>
      <c r="AQ281" s="72" t="s">
        <v>243</v>
      </c>
      <c r="AV281" s="37">
        <f t="shared" si="374"/>
        <v>0</v>
      </c>
      <c r="AW281" s="37">
        <f t="shared" si="375"/>
        <v>0</v>
      </c>
      <c r="AX281" s="37">
        <f t="shared" si="376"/>
        <v>0</v>
      </c>
      <c r="AY281" s="72" t="s">
        <v>890</v>
      </c>
      <c r="AZ281" s="72" t="s">
        <v>816</v>
      </c>
      <c r="BA281" s="49" t="s">
        <v>226</v>
      </c>
      <c r="BC281" s="37">
        <f t="shared" si="377"/>
        <v>0</v>
      </c>
      <c r="BD281" s="37">
        <f t="shared" si="378"/>
        <v>0</v>
      </c>
      <c r="BE281" s="37">
        <v>0</v>
      </c>
      <c r="BF281" s="37">
        <f>281</f>
        <v>281</v>
      </c>
      <c r="BH281" s="37">
        <f t="shared" si="379"/>
        <v>0</v>
      </c>
      <c r="BI281" s="37">
        <f t="shared" si="380"/>
        <v>0</v>
      </c>
      <c r="BJ281" s="37">
        <f t="shared" si="381"/>
        <v>0</v>
      </c>
      <c r="BK281" s="37"/>
      <c r="BL281" s="37">
        <v>766</v>
      </c>
      <c r="BW281" s="37">
        <v>21</v>
      </c>
      <c r="BX281" s="3" t="s">
        <v>959</v>
      </c>
    </row>
    <row r="282" spans="1:76" x14ac:dyDescent="0.25">
      <c r="A282" s="1" t="s">
        <v>960</v>
      </c>
      <c r="B282" s="2" t="s">
        <v>961</v>
      </c>
      <c r="C282" s="279" t="s">
        <v>962</v>
      </c>
      <c r="D282" s="280"/>
      <c r="E282" s="2" t="s">
        <v>329</v>
      </c>
      <c r="F282" s="37">
        <v>1</v>
      </c>
      <c r="G282" s="78">
        <v>0</v>
      </c>
      <c r="H282" s="37">
        <f t="shared" si="360"/>
        <v>0</v>
      </c>
      <c r="I282" s="37">
        <f t="shared" si="361"/>
        <v>0</v>
      </c>
      <c r="J282" s="37">
        <f t="shared" si="362"/>
        <v>0</v>
      </c>
      <c r="K282" s="79" t="s">
        <v>334</v>
      </c>
      <c r="Z282" s="37">
        <f t="shared" si="363"/>
        <v>0</v>
      </c>
      <c r="AB282" s="37">
        <f t="shared" si="364"/>
        <v>0</v>
      </c>
      <c r="AC282" s="37">
        <f t="shared" si="365"/>
        <v>0</v>
      </c>
      <c r="AD282" s="37">
        <f t="shared" si="366"/>
        <v>0</v>
      </c>
      <c r="AE282" s="37">
        <f t="shared" si="367"/>
        <v>0</v>
      </c>
      <c r="AF282" s="37">
        <f t="shared" si="368"/>
        <v>0</v>
      </c>
      <c r="AG282" s="37">
        <f t="shared" si="369"/>
        <v>0</v>
      </c>
      <c r="AH282" s="37">
        <f t="shared" si="370"/>
        <v>0</v>
      </c>
      <c r="AI282" s="49" t="s">
        <v>89</v>
      </c>
      <c r="AJ282" s="37">
        <f t="shared" si="371"/>
        <v>0</v>
      </c>
      <c r="AK282" s="37">
        <f t="shared" si="372"/>
        <v>0</v>
      </c>
      <c r="AL282" s="37">
        <f t="shared" si="373"/>
        <v>0</v>
      </c>
      <c r="AN282" s="37">
        <v>21</v>
      </c>
      <c r="AO282" s="37">
        <f>G282*1</f>
        <v>0</v>
      </c>
      <c r="AP282" s="37">
        <f>G282*(1-1)</f>
        <v>0</v>
      </c>
      <c r="AQ282" s="72" t="s">
        <v>243</v>
      </c>
      <c r="AV282" s="37">
        <f t="shared" si="374"/>
        <v>0</v>
      </c>
      <c r="AW282" s="37">
        <f t="shared" si="375"/>
        <v>0</v>
      </c>
      <c r="AX282" s="37">
        <f t="shared" si="376"/>
        <v>0</v>
      </c>
      <c r="AY282" s="72" t="s">
        <v>890</v>
      </c>
      <c r="AZ282" s="72" t="s">
        <v>816</v>
      </c>
      <c r="BA282" s="49" t="s">
        <v>226</v>
      </c>
      <c r="BC282" s="37">
        <f t="shared" si="377"/>
        <v>0</v>
      </c>
      <c r="BD282" s="37">
        <f t="shared" si="378"/>
        <v>0</v>
      </c>
      <c r="BE282" s="37">
        <v>0</v>
      </c>
      <c r="BF282" s="37">
        <f>282</f>
        <v>282</v>
      </c>
      <c r="BH282" s="37">
        <f t="shared" si="379"/>
        <v>0</v>
      </c>
      <c r="BI282" s="37">
        <f t="shared" si="380"/>
        <v>0</v>
      </c>
      <c r="BJ282" s="37">
        <f t="shared" si="381"/>
        <v>0</v>
      </c>
      <c r="BK282" s="37"/>
      <c r="BL282" s="37">
        <v>766</v>
      </c>
      <c r="BW282" s="37">
        <v>21</v>
      </c>
      <c r="BX282" s="3" t="s">
        <v>962</v>
      </c>
    </row>
    <row r="283" spans="1:76" x14ac:dyDescent="0.25">
      <c r="A283" s="1" t="s">
        <v>963</v>
      </c>
      <c r="B283" s="2" t="s">
        <v>964</v>
      </c>
      <c r="C283" s="279" t="s">
        <v>965</v>
      </c>
      <c r="D283" s="280"/>
      <c r="E283" s="2" t="s">
        <v>329</v>
      </c>
      <c r="F283" s="37">
        <v>3</v>
      </c>
      <c r="G283" s="78">
        <v>0</v>
      </c>
      <c r="H283" s="37">
        <f t="shared" si="360"/>
        <v>0</v>
      </c>
      <c r="I283" s="37">
        <f t="shared" si="361"/>
        <v>0</v>
      </c>
      <c r="J283" s="37">
        <f t="shared" si="362"/>
        <v>0</v>
      </c>
      <c r="K283" s="79" t="s">
        <v>223</v>
      </c>
      <c r="Z283" s="37">
        <f t="shared" si="363"/>
        <v>0</v>
      </c>
      <c r="AB283" s="37">
        <f t="shared" si="364"/>
        <v>0</v>
      </c>
      <c r="AC283" s="37">
        <f t="shared" si="365"/>
        <v>0</v>
      </c>
      <c r="AD283" s="37">
        <f t="shared" si="366"/>
        <v>0</v>
      </c>
      <c r="AE283" s="37">
        <f t="shared" si="367"/>
        <v>0</v>
      </c>
      <c r="AF283" s="37">
        <f t="shared" si="368"/>
        <v>0</v>
      </c>
      <c r="AG283" s="37">
        <f t="shared" si="369"/>
        <v>0</v>
      </c>
      <c r="AH283" s="37">
        <f t="shared" si="370"/>
        <v>0</v>
      </c>
      <c r="AI283" s="49" t="s">
        <v>89</v>
      </c>
      <c r="AJ283" s="37">
        <f t="shared" si="371"/>
        <v>0</v>
      </c>
      <c r="AK283" s="37">
        <f t="shared" si="372"/>
        <v>0</v>
      </c>
      <c r="AL283" s="37">
        <f t="shared" si="373"/>
        <v>0</v>
      </c>
      <c r="AN283" s="37">
        <v>21</v>
      </c>
      <c r="AO283" s="37">
        <f>G283*0.120673611</f>
        <v>0</v>
      </c>
      <c r="AP283" s="37">
        <f>G283*(1-0.120673611)</f>
        <v>0</v>
      </c>
      <c r="AQ283" s="72" t="s">
        <v>243</v>
      </c>
      <c r="AV283" s="37">
        <f t="shared" si="374"/>
        <v>0</v>
      </c>
      <c r="AW283" s="37">
        <f t="shared" si="375"/>
        <v>0</v>
      </c>
      <c r="AX283" s="37">
        <f t="shared" si="376"/>
        <v>0</v>
      </c>
      <c r="AY283" s="72" t="s">
        <v>890</v>
      </c>
      <c r="AZ283" s="72" t="s">
        <v>816</v>
      </c>
      <c r="BA283" s="49" t="s">
        <v>226</v>
      </c>
      <c r="BC283" s="37">
        <f t="shared" si="377"/>
        <v>0</v>
      </c>
      <c r="BD283" s="37">
        <f t="shared" si="378"/>
        <v>0</v>
      </c>
      <c r="BE283" s="37">
        <v>0</v>
      </c>
      <c r="BF283" s="37">
        <f>283</f>
        <v>283</v>
      </c>
      <c r="BH283" s="37">
        <f t="shared" si="379"/>
        <v>0</v>
      </c>
      <c r="BI283" s="37">
        <f t="shared" si="380"/>
        <v>0</v>
      </c>
      <c r="BJ283" s="37">
        <f t="shared" si="381"/>
        <v>0</v>
      </c>
      <c r="BK283" s="37"/>
      <c r="BL283" s="37">
        <v>766</v>
      </c>
      <c r="BW283" s="37">
        <v>21</v>
      </c>
      <c r="BX283" s="3" t="s">
        <v>965</v>
      </c>
    </row>
    <row r="284" spans="1:76" x14ac:dyDescent="0.25">
      <c r="A284" s="1" t="s">
        <v>966</v>
      </c>
      <c r="B284" s="2" t="s">
        <v>967</v>
      </c>
      <c r="C284" s="279" t="s">
        <v>968</v>
      </c>
      <c r="D284" s="280"/>
      <c r="E284" s="2" t="s">
        <v>329</v>
      </c>
      <c r="F284" s="37">
        <v>2</v>
      </c>
      <c r="G284" s="78">
        <v>0</v>
      </c>
      <c r="H284" s="37">
        <f t="shared" si="360"/>
        <v>0</v>
      </c>
      <c r="I284" s="37">
        <f t="shared" si="361"/>
        <v>0</v>
      </c>
      <c r="J284" s="37">
        <f t="shared" si="362"/>
        <v>0</v>
      </c>
      <c r="K284" s="79" t="s">
        <v>334</v>
      </c>
      <c r="Z284" s="37">
        <f t="shared" si="363"/>
        <v>0</v>
      </c>
      <c r="AB284" s="37">
        <f t="shared" si="364"/>
        <v>0</v>
      </c>
      <c r="AC284" s="37">
        <f t="shared" si="365"/>
        <v>0</v>
      </c>
      <c r="AD284" s="37">
        <f t="shared" si="366"/>
        <v>0</v>
      </c>
      <c r="AE284" s="37">
        <f t="shared" si="367"/>
        <v>0</v>
      </c>
      <c r="AF284" s="37">
        <f t="shared" si="368"/>
        <v>0</v>
      </c>
      <c r="AG284" s="37">
        <f t="shared" si="369"/>
        <v>0</v>
      </c>
      <c r="AH284" s="37">
        <f t="shared" si="370"/>
        <v>0</v>
      </c>
      <c r="AI284" s="49" t="s">
        <v>89</v>
      </c>
      <c r="AJ284" s="37">
        <f t="shared" si="371"/>
        <v>0</v>
      </c>
      <c r="AK284" s="37">
        <f t="shared" si="372"/>
        <v>0</v>
      </c>
      <c r="AL284" s="37">
        <f t="shared" si="373"/>
        <v>0</v>
      </c>
      <c r="AN284" s="37">
        <v>21</v>
      </c>
      <c r="AO284" s="37">
        <f>G284*1</f>
        <v>0</v>
      </c>
      <c r="AP284" s="37">
        <f>G284*(1-1)</f>
        <v>0</v>
      </c>
      <c r="AQ284" s="72" t="s">
        <v>243</v>
      </c>
      <c r="AV284" s="37">
        <f t="shared" si="374"/>
        <v>0</v>
      </c>
      <c r="AW284" s="37">
        <f t="shared" si="375"/>
        <v>0</v>
      </c>
      <c r="AX284" s="37">
        <f t="shared" si="376"/>
        <v>0</v>
      </c>
      <c r="AY284" s="72" t="s">
        <v>890</v>
      </c>
      <c r="AZ284" s="72" t="s">
        <v>816</v>
      </c>
      <c r="BA284" s="49" t="s">
        <v>226</v>
      </c>
      <c r="BC284" s="37">
        <f t="shared" si="377"/>
        <v>0</v>
      </c>
      <c r="BD284" s="37">
        <f t="shared" si="378"/>
        <v>0</v>
      </c>
      <c r="BE284" s="37">
        <v>0</v>
      </c>
      <c r="BF284" s="37">
        <f>284</f>
        <v>284</v>
      </c>
      <c r="BH284" s="37">
        <f t="shared" si="379"/>
        <v>0</v>
      </c>
      <c r="BI284" s="37">
        <f t="shared" si="380"/>
        <v>0</v>
      </c>
      <c r="BJ284" s="37">
        <f t="shared" si="381"/>
        <v>0</v>
      </c>
      <c r="BK284" s="37"/>
      <c r="BL284" s="37">
        <v>766</v>
      </c>
      <c r="BW284" s="37">
        <v>21</v>
      </c>
      <c r="BX284" s="3" t="s">
        <v>968</v>
      </c>
    </row>
    <row r="285" spans="1:76" x14ac:dyDescent="0.25">
      <c r="A285" s="1" t="s">
        <v>969</v>
      </c>
      <c r="B285" s="2" t="s">
        <v>970</v>
      </c>
      <c r="C285" s="279" t="s">
        <v>971</v>
      </c>
      <c r="D285" s="280"/>
      <c r="E285" s="2" t="s">
        <v>329</v>
      </c>
      <c r="F285" s="37">
        <v>1</v>
      </c>
      <c r="G285" s="78">
        <v>0</v>
      </c>
      <c r="H285" s="37">
        <f t="shared" si="360"/>
        <v>0</v>
      </c>
      <c r="I285" s="37">
        <f t="shared" si="361"/>
        <v>0</v>
      </c>
      <c r="J285" s="37">
        <f t="shared" si="362"/>
        <v>0</v>
      </c>
      <c r="K285" s="79" t="s">
        <v>334</v>
      </c>
      <c r="Z285" s="37">
        <f t="shared" si="363"/>
        <v>0</v>
      </c>
      <c r="AB285" s="37">
        <f t="shared" si="364"/>
        <v>0</v>
      </c>
      <c r="AC285" s="37">
        <f t="shared" si="365"/>
        <v>0</v>
      </c>
      <c r="AD285" s="37">
        <f t="shared" si="366"/>
        <v>0</v>
      </c>
      <c r="AE285" s="37">
        <f t="shared" si="367"/>
        <v>0</v>
      </c>
      <c r="AF285" s="37">
        <f t="shared" si="368"/>
        <v>0</v>
      </c>
      <c r="AG285" s="37">
        <f t="shared" si="369"/>
        <v>0</v>
      </c>
      <c r="AH285" s="37">
        <f t="shared" si="370"/>
        <v>0</v>
      </c>
      <c r="AI285" s="49" t="s">
        <v>89</v>
      </c>
      <c r="AJ285" s="37">
        <f t="shared" si="371"/>
        <v>0</v>
      </c>
      <c r="AK285" s="37">
        <f t="shared" si="372"/>
        <v>0</v>
      </c>
      <c r="AL285" s="37">
        <f t="shared" si="373"/>
        <v>0</v>
      </c>
      <c r="AN285" s="37">
        <v>21</v>
      </c>
      <c r="AO285" s="37">
        <f>G285*1</f>
        <v>0</v>
      </c>
      <c r="AP285" s="37">
        <f>G285*(1-1)</f>
        <v>0</v>
      </c>
      <c r="AQ285" s="72" t="s">
        <v>243</v>
      </c>
      <c r="AV285" s="37">
        <f t="shared" si="374"/>
        <v>0</v>
      </c>
      <c r="AW285" s="37">
        <f t="shared" si="375"/>
        <v>0</v>
      </c>
      <c r="AX285" s="37">
        <f t="shared" si="376"/>
        <v>0</v>
      </c>
      <c r="AY285" s="72" t="s">
        <v>890</v>
      </c>
      <c r="AZ285" s="72" t="s">
        <v>816</v>
      </c>
      <c r="BA285" s="49" t="s">
        <v>226</v>
      </c>
      <c r="BC285" s="37">
        <f t="shared" si="377"/>
        <v>0</v>
      </c>
      <c r="BD285" s="37">
        <f t="shared" si="378"/>
        <v>0</v>
      </c>
      <c r="BE285" s="37">
        <v>0</v>
      </c>
      <c r="BF285" s="37">
        <f>285</f>
        <v>285</v>
      </c>
      <c r="BH285" s="37">
        <f t="shared" si="379"/>
        <v>0</v>
      </c>
      <c r="BI285" s="37">
        <f t="shared" si="380"/>
        <v>0</v>
      </c>
      <c r="BJ285" s="37">
        <f t="shared" si="381"/>
        <v>0</v>
      </c>
      <c r="BK285" s="37"/>
      <c r="BL285" s="37">
        <v>766</v>
      </c>
      <c r="BW285" s="37">
        <v>21</v>
      </c>
      <c r="BX285" s="3" t="s">
        <v>971</v>
      </c>
    </row>
    <row r="286" spans="1:76" x14ac:dyDescent="0.25">
      <c r="A286" s="1" t="s">
        <v>972</v>
      </c>
      <c r="B286" s="2" t="s">
        <v>973</v>
      </c>
      <c r="C286" s="279" t="s">
        <v>974</v>
      </c>
      <c r="D286" s="280"/>
      <c r="E286" s="2" t="s">
        <v>329</v>
      </c>
      <c r="F286" s="37">
        <v>2</v>
      </c>
      <c r="G286" s="78">
        <v>0</v>
      </c>
      <c r="H286" s="37">
        <f t="shared" si="360"/>
        <v>0</v>
      </c>
      <c r="I286" s="37">
        <f t="shared" si="361"/>
        <v>0</v>
      </c>
      <c r="J286" s="37">
        <f t="shared" si="362"/>
        <v>0</v>
      </c>
      <c r="K286" s="79" t="s">
        <v>334</v>
      </c>
      <c r="Z286" s="37">
        <f t="shared" si="363"/>
        <v>0</v>
      </c>
      <c r="AB286" s="37">
        <f t="shared" si="364"/>
        <v>0</v>
      </c>
      <c r="AC286" s="37">
        <f t="shared" si="365"/>
        <v>0</v>
      </c>
      <c r="AD286" s="37">
        <f t="shared" si="366"/>
        <v>0</v>
      </c>
      <c r="AE286" s="37">
        <f t="shared" si="367"/>
        <v>0</v>
      </c>
      <c r="AF286" s="37">
        <f t="shared" si="368"/>
        <v>0</v>
      </c>
      <c r="AG286" s="37">
        <f t="shared" si="369"/>
        <v>0</v>
      </c>
      <c r="AH286" s="37">
        <f t="shared" si="370"/>
        <v>0</v>
      </c>
      <c r="AI286" s="49" t="s">
        <v>89</v>
      </c>
      <c r="AJ286" s="37">
        <f t="shared" si="371"/>
        <v>0</v>
      </c>
      <c r="AK286" s="37">
        <f t="shared" si="372"/>
        <v>0</v>
      </c>
      <c r="AL286" s="37">
        <f t="shared" si="373"/>
        <v>0</v>
      </c>
      <c r="AN286" s="37">
        <v>21</v>
      </c>
      <c r="AO286" s="37">
        <f>G286*0</f>
        <v>0</v>
      </c>
      <c r="AP286" s="37">
        <f>G286*(1-0)</f>
        <v>0</v>
      </c>
      <c r="AQ286" s="72" t="s">
        <v>243</v>
      </c>
      <c r="AV286" s="37">
        <f t="shared" si="374"/>
        <v>0</v>
      </c>
      <c r="AW286" s="37">
        <f t="shared" si="375"/>
        <v>0</v>
      </c>
      <c r="AX286" s="37">
        <f t="shared" si="376"/>
        <v>0</v>
      </c>
      <c r="AY286" s="72" t="s">
        <v>890</v>
      </c>
      <c r="AZ286" s="72" t="s">
        <v>816</v>
      </c>
      <c r="BA286" s="49" t="s">
        <v>226</v>
      </c>
      <c r="BC286" s="37">
        <f t="shared" si="377"/>
        <v>0</v>
      </c>
      <c r="BD286" s="37">
        <f t="shared" si="378"/>
        <v>0</v>
      </c>
      <c r="BE286" s="37">
        <v>0</v>
      </c>
      <c r="BF286" s="37">
        <f>286</f>
        <v>286</v>
      </c>
      <c r="BH286" s="37">
        <f t="shared" si="379"/>
        <v>0</v>
      </c>
      <c r="BI286" s="37">
        <f t="shared" si="380"/>
        <v>0</v>
      </c>
      <c r="BJ286" s="37">
        <f t="shared" si="381"/>
        <v>0</v>
      </c>
      <c r="BK286" s="37"/>
      <c r="BL286" s="37">
        <v>766</v>
      </c>
      <c r="BW286" s="37">
        <v>21</v>
      </c>
      <c r="BX286" s="3" t="s">
        <v>974</v>
      </c>
    </row>
    <row r="287" spans="1:76" x14ac:dyDescent="0.25">
      <c r="A287" s="1" t="s">
        <v>975</v>
      </c>
      <c r="B287" s="2" t="s">
        <v>976</v>
      </c>
      <c r="C287" s="279" t="s">
        <v>977</v>
      </c>
      <c r="D287" s="280"/>
      <c r="E287" s="2" t="s">
        <v>329</v>
      </c>
      <c r="F287" s="37">
        <v>1</v>
      </c>
      <c r="G287" s="78">
        <v>0</v>
      </c>
      <c r="H287" s="37">
        <f t="shared" si="360"/>
        <v>0</v>
      </c>
      <c r="I287" s="37">
        <f t="shared" si="361"/>
        <v>0</v>
      </c>
      <c r="J287" s="37">
        <f t="shared" si="362"/>
        <v>0</v>
      </c>
      <c r="K287" s="79" t="s">
        <v>334</v>
      </c>
      <c r="Z287" s="37">
        <f t="shared" si="363"/>
        <v>0</v>
      </c>
      <c r="AB287" s="37">
        <f t="shared" si="364"/>
        <v>0</v>
      </c>
      <c r="AC287" s="37">
        <f t="shared" si="365"/>
        <v>0</v>
      </c>
      <c r="AD287" s="37">
        <f t="shared" si="366"/>
        <v>0</v>
      </c>
      <c r="AE287" s="37">
        <f t="shared" si="367"/>
        <v>0</v>
      </c>
      <c r="AF287" s="37">
        <f t="shared" si="368"/>
        <v>0</v>
      </c>
      <c r="AG287" s="37">
        <f t="shared" si="369"/>
        <v>0</v>
      </c>
      <c r="AH287" s="37">
        <f t="shared" si="370"/>
        <v>0</v>
      </c>
      <c r="AI287" s="49" t="s">
        <v>89</v>
      </c>
      <c r="AJ287" s="37">
        <f t="shared" si="371"/>
        <v>0</v>
      </c>
      <c r="AK287" s="37">
        <f t="shared" si="372"/>
        <v>0</v>
      </c>
      <c r="AL287" s="37">
        <f t="shared" si="373"/>
        <v>0</v>
      </c>
      <c r="AN287" s="37">
        <v>21</v>
      </c>
      <c r="AO287" s="37">
        <f>G287*1</f>
        <v>0</v>
      </c>
      <c r="AP287" s="37">
        <f>G287*(1-1)</f>
        <v>0</v>
      </c>
      <c r="AQ287" s="72" t="s">
        <v>243</v>
      </c>
      <c r="AV287" s="37">
        <f t="shared" si="374"/>
        <v>0</v>
      </c>
      <c r="AW287" s="37">
        <f t="shared" si="375"/>
        <v>0</v>
      </c>
      <c r="AX287" s="37">
        <f t="shared" si="376"/>
        <v>0</v>
      </c>
      <c r="AY287" s="72" t="s">
        <v>890</v>
      </c>
      <c r="AZ287" s="72" t="s">
        <v>816</v>
      </c>
      <c r="BA287" s="49" t="s">
        <v>226</v>
      </c>
      <c r="BC287" s="37">
        <f t="shared" si="377"/>
        <v>0</v>
      </c>
      <c r="BD287" s="37">
        <f t="shared" si="378"/>
        <v>0</v>
      </c>
      <c r="BE287" s="37">
        <v>0</v>
      </c>
      <c r="BF287" s="37">
        <f>287</f>
        <v>287</v>
      </c>
      <c r="BH287" s="37">
        <f t="shared" si="379"/>
        <v>0</v>
      </c>
      <c r="BI287" s="37">
        <f t="shared" si="380"/>
        <v>0</v>
      </c>
      <c r="BJ287" s="37">
        <f t="shared" si="381"/>
        <v>0</v>
      </c>
      <c r="BK287" s="37"/>
      <c r="BL287" s="37">
        <v>766</v>
      </c>
      <c r="BW287" s="37">
        <v>21</v>
      </c>
      <c r="BX287" s="3" t="s">
        <v>977</v>
      </c>
    </row>
    <row r="288" spans="1:76" x14ac:dyDescent="0.25">
      <c r="A288" s="1" t="s">
        <v>978</v>
      </c>
      <c r="B288" s="2" t="s">
        <v>979</v>
      </c>
      <c r="C288" s="279" t="s">
        <v>980</v>
      </c>
      <c r="D288" s="280"/>
      <c r="E288" s="2" t="s">
        <v>329</v>
      </c>
      <c r="F288" s="37">
        <v>1</v>
      </c>
      <c r="G288" s="78">
        <v>0</v>
      </c>
      <c r="H288" s="37">
        <f t="shared" si="360"/>
        <v>0</v>
      </c>
      <c r="I288" s="37">
        <f t="shared" si="361"/>
        <v>0</v>
      </c>
      <c r="J288" s="37">
        <f t="shared" si="362"/>
        <v>0</v>
      </c>
      <c r="K288" s="79" t="s">
        <v>334</v>
      </c>
      <c r="Z288" s="37">
        <f t="shared" si="363"/>
        <v>0</v>
      </c>
      <c r="AB288" s="37">
        <f t="shared" si="364"/>
        <v>0</v>
      </c>
      <c r="AC288" s="37">
        <f t="shared" si="365"/>
        <v>0</v>
      </c>
      <c r="AD288" s="37">
        <f t="shared" si="366"/>
        <v>0</v>
      </c>
      <c r="AE288" s="37">
        <f t="shared" si="367"/>
        <v>0</v>
      </c>
      <c r="AF288" s="37">
        <f t="shared" si="368"/>
        <v>0</v>
      </c>
      <c r="AG288" s="37">
        <f t="shared" si="369"/>
        <v>0</v>
      </c>
      <c r="AH288" s="37">
        <f t="shared" si="370"/>
        <v>0</v>
      </c>
      <c r="AI288" s="49" t="s">
        <v>89</v>
      </c>
      <c r="AJ288" s="37">
        <f t="shared" si="371"/>
        <v>0</v>
      </c>
      <c r="AK288" s="37">
        <f t="shared" si="372"/>
        <v>0</v>
      </c>
      <c r="AL288" s="37">
        <f t="shared" si="373"/>
        <v>0</v>
      </c>
      <c r="AN288" s="37">
        <v>21</v>
      </c>
      <c r="AO288" s="37">
        <f>G288*1</f>
        <v>0</v>
      </c>
      <c r="AP288" s="37">
        <f>G288*(1-1)</f>
        <v>0</v>
      </c>
      <c r="AQ288" s="72" t="s">
        <v>243</v>
      </c>
      <c r="AV288" s="37">
        <f t="shared" si="374"/>
        <v>0</v>
      </c>
      <c r="AW288" s="37">
        <f t="shared" si="375"/>
        <v>0</v>
      </c>
      <c r="AX288" s="37">
        <f t="shared" si="376"/>
        <v>0</v>
      </c>
      <c r="AY288" s="72" t="s">
        <v>890</v>
      </c>
      <c r="AZ288" s="72" t="s">
        <v>816</v>
      </c>
      <c r="BA288" s="49" t="s">
        <v>226</v>
      </c>
      <c r="BC288" s="37">
        <f t="shared" si="377"/>
        <v>0</v>
      </c>
      <c r="BD288" s="37">
        <f t="shared" si="378"/>
        <v>0</v>
      </c>
      <c r="BE288" s="37">
        <v>0</v>
      </c>
      <c r="BF288" s="37">
        <f>288</f>
        <v>288</v>
      </c>
      <c r="BH288" s="37">
        <f t="shared" si="379"/>
        <v>0</v>
      </c>
      <c r="BI288" s="37">
        <f t="shared" si="380"/>
        <v>0</v>
      </c>
      <c r="BJ288" s="37">
        <f t="shared" si="381"/>
        <v>0</v>
      </c>
      <c r="BK288" s="37"/>
      <c r="BL288" s="37">
        <v>766</v>
      </c>
      <c r="BW288" s="37">
        <v>21</v>
      </c>
      <c r="BX288" s="3" t="s">
        <v>980</v>
      </c>
    </row>
    <row r="289" spans="1:76" x14ac:dyDescent="0.25">
      <c r="A289" s="1" t="s">
        <v>981</v>
      </c>
      <c r="B289" s="2" t="s">
        <v>982</v>
      </c>
      <c r="C289" s="279" t="s">
        <v>983</v>
      </c>
      <c r="D289" s="280"/>
      <c r="E289" s="2" t="s">
        <v>329</v>
      </c>
      <c r="F289" s="37">
        <v>1</v>
      </c>
      <c r="G289" s="78">
        <v>0</v>
      </c>
      <c r="H289" s="37">
        <f t="shared" si="360"/>
        <v>0</v>
      </c>
      <c r="I289" s="37">
        <f t="shared" si="361"/>
        <v>0</v>
      </c>
      <c r="J289" s="37">
        <f t="shared" si="362"/>
        <v>0</v>
      </c>
      <c r="K289" s="79" t="s">
        <v>223</v>
      </c>
      <c r="Z289" s="37">
        <f t="shared" si="363"/>
        <v>0</v>
      </c>
      <c r="AB289" s="37">
        <f t="shared" si="364"/>
        <v>0</v>
      </c>
      <c r="AC289" s="37">
        <f t="shared" si="365"/>
        <v>0</v>
      </c>
      <c r="AD289" s="37">
        <f t="shared" si="366"/>
        <v>0</v>
      </c>
      <c r="AE289" s="37">
        <f t="shared" si="367"/>
        <v>0</v>
      </c>
      <c r="AF289" s="37">
        <f t="shared" si="368"/>
        <v>0</v>
      </c>
      <c r="AG289" s="37">
        <f t="shared" si="369"/>
        <v>0</v>
      </c>
      <c r="AH289" s="37">
        <f t="shared" si="370"/>
        <v>0</v>
      </c>
      <c r="AI289" s="49" t="s">
        <v>89</v>
      </c>
      <c r="AJ289" s="37">
        <f t="shared" si="371"/>
        <v>0</v>
      </c>
      <c r="AK289" s="37">
        <f t="shared" si="372"/>
        <v>0</v>
      </c>
      <c r="AL289" s="37">
        <f t="shared" si="373"/>
        <v>0</v>
      </c>
      <c r="AN289" s="37">
        <v>21</v>
      </c>
      <c r="AO289" s="37">
        <f>G289*0.133427406</f>
        <v>0</v>
      </c>
      <c r="AP289" s="37">
        <f>G289*(1-0.133427406)</f>
        <v>0</v>
      </c>
      <c r="AQ289" s="72" t="s">
        <v>243</v>
      </c>
      <c r="AV289" s="37">
        <f t="shared" si="374"/>
        <v>0</v>
      </c>
      <c r="AW289" s="37">
        <f t="shared" si="375"/>
        <v>0</v>
      </c>
      <c r="AX289" s="37">
        <f t="shared" si="376"/>
        <v>0</v>
      </c>
      <c r="AY289" s="72" t="s">
        <v>890</v>
      </c>
      <c r="AZ289" s="72" t="s">
        <v>816</v>
      </c>
      <c r="BA289" s="49" t="s">
        <v>226</v>
      </c>
      <c r="BC289" s="37">
        <f t="shared" si="377"/>
        <v>0</v>
      </c>
      <c r="BD289" s="37">
        <f t="shared" si="378"/>
        <v>0</v>
      </c>
      <c r="BE289" s="37">
        <v>0</v>
      </c>
      <c r="BF289" s="37">
        <f>289</f>
        <v>289</v>
      </c>
      <c r="BH289" s="37">
        <f t="shared" si="379"/>
        <v>0</v>
      </c>
      <c r="BI289" s="37">
        <f t="shared" si="380"/>
        <v>0</v>
      </c>
      <c r="BJ289" s="37">
        <f t="shared" si="381"/>
        <v>0</v>
      </c>
      <c r="BK289" s="37"/>
      <c r="BL289" s="37">
        <v>766</v>
      </c>
      <c r="BW289" s="37">
        <v>21</v>
      </c>
      <c r="BX289" s="3" t="s">
        <v>983</v>
      </c>
    </row>
    <row r="290" spans="1:76" ht="25.5" x14ac:dyDescent="0.25">
      <c r="A290" s="1" t="s">
        <v>984</v>
      </c>
      <c r="B290" s="2" t="s">
        <v>985</v>
      </c>
      <c r="C290" s="279" t="s">
        <v>986</v>
      </c>
      <c r="D290" s="280"/>
      <c r="E290" s="2" t="s">
        <v>329</v>
      </c>
      <c r="F290" s="37">
        <v>1</v>
      </c>
      <c r="G290" s="78">
        <v>0</v>
      </c>
      <c r="H290" s="37">
        <f t="shared" si="360"/>
        <v>0</v>
      </c>
      <c r="I290" s="37">
        <f t="shared" si="361"/>
        <v>0</v>
      </c>
      <c r="J290" s="37">
        <f t="shared" si="362"/>
        <v>0</v>
      </c>
      <c r="K290" s="79" t="s">
        <v>334</v>
      </c>
      <c r="Z290" s="37">
        <f t="shared" si="363"/>
        <v>0</v>
      </c>
      <c r="AB290" s="37">
        <f t="shared" si="364"/>
        <v>0</v>
      </c>
      <c r="AC290" s="37">
        <f t="shared" si="365"/>
        <v>0</v>
      </c>
      <c r="AD290" s="37">
        <f t="shared" si="366"/>
        <v>0</v>
      </c>
      <c r="AE290" s="37">
        <f t="shared" si="367"/>
        <v>0</v>
      </c>
      <c r="AF290" s="37">
        <f t="shared" si="368"/>
        <v>0</v>
      </c>
      <c r="AG290" s="37">
        <f t="shared" si="369"/>
        <v>0</v>
      </c>
      <c r="AH290" s="37">
        <f t="shared" si="370"/>
        <v>0</v>
      </c>
      <c r="AI290" s="49" t="s">
        <v>89</v>
      </c>
      <c r="AJ290" s="37">
        <f t="shared" si="371"/>
        <v>0</v>
      </c>
      <c r="AK290" s="37">
        <f t="shared" si="372"/>
        <v>0</v>
      </c>
      <c r="AL290" s="37">
        <f t="shared" si="373"/>
        <v>0</v>
      </c>
      <c r="AN290" s="37">
        <v>21</v>
      </c>
      <c r="AO290" s="37">
        <f>G290*1</f>
        <v>0</v>
      </c>
      <c r="AP290" s="37">
        <f>G290*(1-1)</f>
        <v>0</v>
      </c>
      <c r="AQ290" s="72" t="s">
        <v>243</v>
      </c>
      <c r="AV290" s="37">
        <f t="shared" si="374"/>
        <v>0</v>
      </c>
      <c r="AW290" s="37">
        <f t="shared" si="375"/>
        <v>0</v>
      </c>
      <c r="AX290" s="37">
        <f t="shared" si="376"/>
        <v>0</v>
      </c>
      <c r="AY290" s="72" t="s">
        <v>890</v>
      </c>
      <c r="AZ290" s="72" t="s">
        <v>816</v>
      </c>
      <c r="BA290" s="49" t="s">
        <v>226</v>
      </c>
      <c r="BC290" s="37">
        <f t="shared" si="377"/>
        <v>0</v>
      </c>
      <c r="BD290" s="37">
        <f t="shared" si="378"/>
        <v>0</v>
      </c>
      <c r="BE290" s="37">
        <v>0</v>
      </c>
      <c r="BF290" s="37">
        <f>290</f>
        <v>290</v>
      </c>
      <c r="BH290" s="37">
        <f t="shared" si="379"/>
        <v>0</v>
      </c>
      <c r="BI290" s="37">
        <f t="shared" si="380"/>
        <v>0</v>
      </c>
      <c r="BJ290" s="37">
        <f t="shared" si="381"/>
        <v>0</v>
      </c>
      <c r="BK290" s="37"/>
      <c r="BL290" s="37">
        <v>766</v>
      </c>
      <c r="BW290" s="37">
        <v>21</v>
      </c>
      <c r="BX290" s="3" t="s">
        <v>986</v>
      </c>
    </row>
    <row r="291" spans="1:76" x14ac:dyDescent="0.25">
      <c r="A291" s="1" t="s">
        <v>987</v>
      </c>
      <c r="B291" s="2" t="s">
        <v>988</v>
      </c>
      <c r="C291" s="279" t="s">
        <v>989</v>
      </c>
      <c r="D291" s="280"/>
      <c r="E291" s="2" t="s">
        <v>333</v>
      </c>
      <c r="F291" s="37">
        <v>68.87</v>
      </c>
      <c r="G291" s="78">
        <v>0</v>
      </c>
      <c r="H291" s="37">
        <f t="shared" si="360"/>
        <v>0</v>
      </c>
      <c r="I291" s="37">
        <f t="shared" si="361"/>
        <v>0</v>
      </c>
      <c r="J291" s="37">
        <f t="shared" si="362"/>
        <v>0</v>
      </c>
      <c r="K291" s="79" t="s">
        <v>223</v>
      </c>
      <c r="Z291" s="37">
        <f t="shared" si="363"/>
        <v>0</v>
      </c>
      <c r="AB291" s="37">
        <f t="shared" si="364"/>
        <v>0</v>
      </c>
      <c r="AC291" s="37">
        <f t="shared" si="365"/>
        <v>0</v>
      </c>
      <c r="AD291" s="37">
        <f t="shared" si="366"/>
        <v>0</v>
      </c>
      <c r="AE291" s="37">
        <f t="shared" si="367"/>
        <v>0</v>
      </c>
      <c r="AF291" s="37">
        <f t="shared" si="368"/>
        <v>0</v>
      </c>
      <c r="AG291" s="37">
        <f t="shared" si="369"/>
        <v>0</v>
      </c>
      <c r="AH291" s="37">
        <f t="shared" si="370"/>
        <v>0</v>
      </c>
      <c r="AI291" s="49" t="s">
        <v>89</v>
      </c>
      <c r="AJ291" s="37">
        <f t="shared" si="371"/>
        <v>0</v>
      </c>
      <c r="AK291" s="37">
        <f t="shared" si="372"/>
        <v>0</v>
      </c>
      <c r="AL291" s="37">
        <f t="shared" si="373"/>
        <v>0</v>
      </c>
      <c r="AN291" s="37">
        <v>21</v>
      </c>
      <c r="AO291" s="37">
        <f>G291*0.423941851</f>
        <v>0</v>
      </c>
      <c r="AP291" s="37">
        <f>G291*(1-0.423941851)</f>
        <v>0</v>
      </c>
      <c r="AQ291" s="72" t="s">
        <v>243</v>
      </c>
      <c r="AV291" s="37">
        <f t="shared" si="374"/>
        <v>0</v>
      </c>
      <c r="AW291" s="37">
        <f t="shared" si="375"/>
        <v>0</v>
      </c>
      <c r="AX291" s="37">
        <f t="shared" si="376"/>
        <v>0</v>
      </c>
      <c r="AY291" s="72" t="s">
        <v>890</v>
      </c>
      <c r="AZ291" s="72" t="s">
        <v>816</v>
      </c>
      <c r="BA291" s="49" t="s">
        <v>226</v>
      </c>
      <c r="BC291" s="37">
        <f t="shared" si="377"/>
        <v>0</v>
      </c>
      <c r="BD291" s="37">
        <f t="shared" si="378"/>
        <v>0</v>
      </c>
      <c r="BE291" s="37">
        <v>0</v>
      </c>
      <c r="BF291" s="37">
        <f>291</f>
        <v>291</v>
      </c>
      <c r="BH291" s="37">
        <f t="shared" si="379"/>
        <v>0</v>
      </c>
      <c r="BI291" s="37">
        <f t="shared" si="380"/>
        <v>0</v>
      </c>
      <c r="BJ291" s="37">
        <f t="shared" si="381"/>
        <v>0</v>
      </c>
      <c r="BK291" s="37"/>
      <c r="BL291" s="37">
        <v>766</v>
      </c>
      <c r="BW291" s="37">
        <v>21</v>
      </c>
      <c r="BX291" s="3" t="s">
        <v>989</v>
      </c>
    </row>
    <row r="292" spans="1:76" x14ac:dyDescent="0.25">
      <c r="A292" s="1" t="s">
        <v>990</v>
      </c>
      <c r="B292" s="2" t="s">
        <v>991</v>
      </c>
      <c r="C292" s="279" t="s">
        <v>992</v>
      </c>
      <c r="D292" s="280"/>
      <c r="E292" s="2" t="s">
        <v>63</v>
      </c>
      <c r="F292" s="37">
        <v>4517.6908000000003</v>
      </c>
      <c r="G292" s="78">
        <v>0</v>
      </c>
      <c r="H292" s="37">
        <f t="shared" si="360"/>
        <v>0</v>
      </c>
      <c r="I292" s="37">
        <f t="shared" si="361"/>
        <v>0</v>
      </c>
      <c r="J292" s="37">
        <f t="shared" si="362"/>
        <v>0</v>
      </c>
      <c r="K292" s="79" t="s">
        <v>223</v>
      </c>
      <c r="Z292" s="37">
        <f t="shared" si="363"/>
        <v>0</v>
      </c>
      <c r="AB292" s="37">
        <f t="shared" si="364"/>
        <v>0</v>
      </c>
      <c r="AC292" s="37">
        <f t="shared" si="365"/>
        <v>0</v>
      </c>
      <c r="AD292" s="37">
        <f t="shared" si="366"/>
        <v>0</v>
      </c>
      <c r="AE292" s="37">
        <f t="shared" si="367"/>
        <v>0</v>
      </c>
      <c r="AF292" s="37">
        <f t="shared" si="368"/>
        <v>0</v>
      </c>
      <c r="AG292" s="37">
        <f t="shared" si="369"/>
        <v>0</v>
      </c>
      <c r="AH292" s="37">
        <f t="shared" si="370"/>
        <v>0</v>
      </c>
      <c r="AI292" s="49" t="s">
        <v>89</v>
      </c>
      <c r="AJ292" s="37">
        <f t="shared" si="371"/>
        <v>0</v>
      </c>
      <c r="AK292" s="37">
        <f t="shared" si="372"/>
        <v>0</v>
      </c>
      <c r="AL292" s="37">
        <f t="shared" si="373"/>
        <v>0</v>
      </c>
      <c r="AN292" s="37">
        <v>21</v>
      </c>
      <c r="AO292" s="37">
        <f>G292*0</f>
        <v>0</v>
      </c>
      <c r="AP292" s="37">
        <f>G292*(1-0)</f>
        <v>0</v>
      </c>
      <c r="AQ292" s="72" t="s">
        <v>237</v>
      </c>
      <c r="AV292" s="37">
        <f t="shared" si="374"/>
        <v>0</v>
      </c>
      <c r="AW292" s="37">
        <f t="shared" si="375"/>
        <v>0</v>
      </c>
      <c r="AX292" s="37">
        <f t="shared" si="376"/>
        <v>0</v>
      </c>
      <c r="AY292" s="72" t="s">
        <v>890</v>
      </c>
      <c r="AZ292" s="72" t="s">
        <v>816</v>
      </c>
      <c r="BA292" s="49" t="s">
        <v>226</v>
      </c>
      <c r="BC292" s="37">
        <f t="shared" si="377"/>
        <v>0</v>
      </c>
      <c r="BD292" s="37">
        <f t="shared" si="378"/>
        <v>0</v>
      </c>
      <c r="BE292" s="37">
        <v>0</v>
      </c>
      <c r="BF292" s="37">
        <f>292</f>
        <v>292</v>
      </c>
      <c r="BH292" s="37">
        <f t="shared" si="379"/>
        <v>0</v>
      </c>
      <c r="BI292" s="37">
        <f t="shared" si="380"/>
        <v>0</v>
      </c>
      <c r="BJ292" s="37">
        <f t="shared" si="381"/>
        <v>0</v>
      </c>
      <c r="BK292" s="37"/>
      <c r="BL292" s="37">
        <v>766</v>
      </c>
      <c r="BW292" s="37">
        <v>21</v>
      </c>
      <c r="BX292" s="3" t="s">
        <v>992</v>
      </c>
    </row>
    <row r="293" spans="1:76" x14ac:dyDescent="0.25">
      <c r="A293" s="80" t="s">
        <v>4</v>
      </c>
      <c r="B293" s="81" t="s">
        <v>149</v>
      </c>
      <c r="C293" s="365" t="s">
        <v>150</v>
      </c>
      <c r="D293" s="366"/>
      <c r="E293" s="82" t="s">
        <v>81</v>
      </c>
      <c r="F293" s="82" t="s">
        <v>81</v>
      </c>
      <c r="G293" s="83" t="s">
        <v>81</v>
      </c>
      <c r="H293" s="43">
        <f>SUM(H294:H299)</f>
        <v>0</v>
      </c>
      <c r="I293" s="43">
        <f>SUM(I294:I299)</f>
        <v>0</v>
      </c>
      <c r="J293" s="43">
        <f>SUM(J294:J299)</f>
        <v>0</v>
      </c>
      <c r="K293" s="84" t="s">
        <v>4</v>
      </c>
      <c r="AI293" s="49" t="s">
        <v>89</v>
      </c>
      <c r="AS293" s="43">
        <f>SUM(AJ294:AJ299)</f>
        <v>0</v>
      </c>
      <c r="AT293" s="43">
        <f>SUM(AK294:AK299)</f>
        <v>0</v>
      </c>
      <c r="AU293" s="43">
        <f>SUM(AL294:AL299)</f>
        <v>0</v>
      </c>
    </row>
    <row r="294" spans="1:76" x14ac:dyDescent="0.25">
      <c r="A294" s="1" t="s">
        <v>993</v>
      </c>
      <c r="B294" s="2" t="s">
        <v>994</v>
      </c>
      <c r="C294" s="279" t="s">
        <v>995</v>
      </c>
      <c r="D294" s="280"/>
      <c r="E294" s="2" t="s">
        <v>333</v>
      </c>
      <c r="F294" s="37">
        <v>13.65</v>
      </c>
      <c r="G294" s="78">
        <v>0</v>
      </c>
      <c r="H294" s="37">
        <f t="shared" ref="H294:H299" si="382">F294*AO294</f>
        <v>0</v>
      </c>
      <c r="I294" s="37">
        <f t="shared" ref="I294:I299" si="383">F294*AP294</f>
        <v>0</v>
      </c>
      <c r="J294" s="37">
        <f t="shared" ref="J294:J299" si="384">F294*G294</f>
        <v>0</v>
      </c>
      <c r="K294" s="79" t="s">
        <v>334</v>
      </c>
      <c r="Z294" s="37">
        <f t="shared" ref="Z294:Z299" si="385">IF(AQ294="5",BJ294,0)</f>
        <v>0</v>
      </c>
      <c r="AB294" s="37">
        <f t="shared" ref="AB294:AB299" si="386">IF(AQ294="1",BH294,0)</f>
        <v>0</v>
      </c>
      <c r="AC294" s="37">
        <f t="shared" ref="AC294:AC299" si="387">IF(AQ294="1",BI294,0)</f>
        <v>0</v>
      </c>
      <c r="AD294" s="37">
        <f t="shared" ref="AD294:AD299" si="388">IF(AQ294="7",BH294,0)</f>
        <v>0</v>
      </c>
      <c r="AE294" s="37">
        <f t="shared" ref="AE294:AE299" si="389">IF(AQ294="7",BI294,0)</f>
        <v>0</v>
      </c>
      <c r="AF294" s="37">
        <f t="shared" ref="AF294:AF299" si="390">IF(AQ294="2",BH294,0)</f>
        <v>0</v>
      </c>
      <c r="AG294" s="37">
        <f t="shared" ref="AG294:AG299" si="391">IF(AQ294="2",BI294,0)</f>
        <v>0</v>
      </c>
      <c r="AH294" s="37">
        <f t="shared" ref="AH294:AH299" si="392">IF(AQ294="0",BJ294,0)</f>
        <v>0</v>
      </c>
      <c r="AI294" s="49" t="s">
        <v>89</v>
      </c>
      <c r="AJ294" s="37">
        <f t="shared" ref="AJ294:AJ299" si="393">IF(AN294=0,J294,0)</f>
        <v>0</v>
      </c>
      <c r="AK294" s="37">
        <f t="shared" ref="AK294:AK299" si="394">IF(AN294=12,J294,0)</f>
        <v>0</v>
      </c>
      <c r="AL294" s="37">
        <f t="shared" ref="AL294:AL299" si="395">IF(AN294=21,J294,0)</f>
        <v>0</v>
      </c>
      <c r="AN294" s="37">
        <v>21</v>
      </c>
      <c r="AO294" s="37">
        <f>G294*0.50884179</f>
        <v>0</v>
      </c>
      <c r="AP294" s="37">
        <f>G294*(1-0.50884179)</f>
        <v>0</v>
      </c>
      <c r="AQ294" s="72" t="s">
        <v>243</v>
      </c>
      <c r="AV294" s="37">
        <f t="shared" ref="AV294:AV299" si="396">AW294+AX294</f>
        <v>0</v>
      </c>
      <c r="AW294" s="37">
        <f t="shared" ref="AW294:AW299" si="397">F294*AO294</f>
        <v>0</v>
      </c>
      <c r="AX294" s="37">
        <f t="shared" ref="AX294:AX299" si="398">F294*AP294</f>
        <v>0</v>
      </c>
      <c r="AY294" s="72" t="s">
        <v>996</v>
      </c>
      <c r="AZ294" s="72" t="s">
        <v>816</v>
      </c>
      <c r="BA294" s="49" t="s">
        <v>226</v>
      </c>
      <c r="BC294" s="37">
        <f t="shared" ref="BC294:BC299" si="399">AW294+AX294</f>
        <v>0</v>
      </c>
      <c r="BD294" s="37">
        <f t="shared" ref="BD294:BD299" si="400">G294/(100-BE294)*100</f>
        <v>0</v>
      </c>
      <c r="BE294" s="37">
        <v>0</v>
      </c>
      <c r="BF294" s="37">
        <f>294</f>
        <v>294</v>
      </c>
      <c r="BH294" s="37">
        <f t="shared" ref="BH294:BH299" si="401">F294*AO294</f>
        <v>0</v>
      </c>
      <c r="BI294" s="37">
        <f t="shared" ref="BI294:BI299" si="402">F294*AP294</f>
        <v>0</v>
      </c>
      <c r="BJ294" s="37">
        <f t="shared" ref="BJ294:BJ299" si="403">F294*G294</f>
        <v>0</v>
      </c>
      <c r="BK294" s="37"/>
      <c r="BL294" s="37">
        <v>767</v>
      </c>
      <c r="BW294" s="37">
        <v>21</v>
      </c>
      <c r="BX294" s="3" t="s">
        <v>995</v>
      </c>
    </row>
    <row r="295" spans="1:76" x14ac:dyDescent="0.25">
      <c r="A295" s="1" t="s">
        <v>997</v>
      </c>
      <c r="B295" s="2" t="s">
        <v>998</v>
      </c>
      <c r="C295" s="279" t="s">
        <v>999</v>
      </c>
      <c r="D295" s="280"/>
      <c r="E295" s="2" t="s">
        <v>333</v>
      </c>
      <c r="F295" s="37">
        <v>6.8</v>
      </c>
      <c r="G295" s="78">
        <v>0</v>
      </c>
      <c r="H295" s="37">
        <f t="shared" si="382"/>
        <v>0</v>
      </c>
      <c r="I295" s="37">
        <f t="shared" si="383"/>
        <v>0</v>
      </c>
      <c r="J295" s="37">
        <f t="shared" si="384"/>
        <v>0</v>
      </c>
      <c r="K295" s="79" t="s">
        <v>334</v>
      </c>
      <c r="Z295" s="37">
        <f t="shared" si="385"/>
        <v>0</v>
      </c>
      <c r="AB295" s="37">
        <f t="shared" si="386"/>
        <v>0</v>
      </c>
      <c r="AC295" s="37">
        <f t="shared" si="387"/>
        <v>0</v>
      </c>
      <c r="AD295" s="37">
        <f t="shared" si="388"/>
        <v>0</v>
      </c>
      <c r="AE295" s="37">
        <f t="shared" si="389"/>
        <v>0</v>
      </c>
      <c r="AF295" s="37">
        <f t="shared" si="390"/>
        <v>0</v>
      </c>
      <c r="AG295" s="37">
        <f t="shared" si="391"/>
        <v>0</v>
      </c>
      <c r="AH295" s="37">
        <f t="shared" si="392"/>
        <v>0</v>
      </c>
      <c r="AI295" s="49" t="s">
        <v>89</v>
      </c>
      <c r="AJ295" s="37">
        <f t="shared" si="393"/>
        <v>0</v>
      </c>
      <c r="AK295" s="37">
        <f t="shared" si="394"/>
        <v>0</v>
      </c>
      <c r="AL295" s="37">
        <f t="shared" si="395"/>
        <v>0</v>
      </c>
      <c r="AN295" s="37">
        <v>21</v>
      </c>
      <c r="AO295" s="37">
        <f>G295*0.401534871</f>
        <v>0</v>
      </c>
      <c r="AP295" s="37">
        <f>G295*(1-0.401534871)</f>
        <v>0</v>
      </c>
      <c r="AQ295" s="72" t="s">
        <v>243</v>
      </c>
      <c r="AV295" s="37">
        <f t="shared" si="396"/>
        <v>0</v>
      </c>
      <c r="AW295" s="37">
        <f t="shared" si="397"/>
        <v>0</v>
      </c>
      <c r="AX295" s="37">
        <f t="shared" si="398"/>
        <v>0</v>
      </c>
      <c r="AY295" s="72" t="s">
        <v>996</v>
      </c>
      <c r="AZ295" s="72" t="s">
        <v>816</v>
      </c>
      <c r="BA295" s="49" t="s">
        <v>226</v>
      </c>
      <c r="BC295" s="37">
        <f t="shared" si="399"/>
        <v>0</v>
      </c>
      <c r="BD295" s="37">
        <f t="shared" si="400"/>
        <v>0</v>
      </c>
      <c r="BE295" s="37">
        <v>0</v>
      </c>
      <c r="BF295" s="37">
        <f>295</f>
        <v>295</v>
      </c>
      <c r="BH295" s="37">
        <f t="shared" si="401"/>
        <v>0</v>
      </c>
      <c r="BI295" s="37">
        <f t="shared" si="402"/>
        <v>0</v>
      </c>
      <c r="BJ295" s="37">
        <f t="shared" si="403"/>
        <v>0</v>
      </c>
      <c r="BK295" s="37"/>
      <c r="BL295" s="37">
        <v>767</v>
      </c>
      <c r="BW295" s="37">
        <v>21</v>
      </c>
      <c r="BX295" s="3" t="s">
        <v>999</v>
      </c>
    </row>
    <row r="296" spans="1:76" x14ac:dyDescent="0.25">
      <c r="A296" s="1" t="s">
        <v>1000</v>
      </c>
      <c r="B296" s="2" t="s">
        <v>1001</v>
      </c>
      <c r="C296" s="279" t="s">
        <v>1002</v>
      </c>
      <c r="D296" s="280"/>
      <c r="E296" s="2" t="s">
        <v>333</v>
      </c>
      <c r="F296" s="37">
        <v>6.6</v>
      </c>
      <c r="G296" s="78">
        <v>0</v>
      </c>
      <c r="H296" s="37">
        <f t="shared" si="382"/>
        <v>0</v>
      </c>
      <c r="I296" s="37">
        <f t="shared" si="383"/>
        <v>0</v>
      </c>
      <c r="J296" s="37">
        <f t="shared" si="384"/>
        <v>0</v>
      </c>
      <c r="K296" s="79" t="s">
        <v>334</v>
      </c>
      <c r="Z296" s="37">
        <f t="shared" si="385"/>
        <v>0</v>
      </c>
      <c r="AB296" s="37">
        <f t="shared" si="386"/>
        <v>0</v>
      </c>
      <c r="AC296" s="37">
        <f t="shared" si="387"/>
        <v>0</v>
      </c>
      <c r="AD296" s="37">
        <f t="shared" si="388"/>
        <v>0</v>
      </c>
      <c r="AE296" s="37">
        <f t="shared" si="389"/>
        <v>0</v>
      </c>
      <c r="AF296" s="37">
        <f t="shared" si="390"/>
        <v>0</v>
      </c>
      <c r="AG296" s="37">
        <f t="shared" si="391"/>
        <v>0</v>
      </c>
      <c r="AH296" s="37">
        <f t="shared" si="392"/>
        <v>0</v>
      </c>
      <c r="AI296" s="49" t="s">
        <v>89</v>
      </c>
      <c r="AJ296" s="37">
        <f t="shared" si="393"/>
        <v>0</v>
      </c>
      <c r="AK296" s="37">
        <f t="shared" si="394"/>
        <v>0</v>
      </c>
      <c r="AL296" s="37">
        <f t="shared" si="395"/>
        <v>0</v>
      </c>
      <c r="AN296" s="37">
        <v>21</v>
      </c>
      <c r="AO296" s="37">
        <f>G296*0.310081761</f>
        <v>0</v>
      </c>
      <c r="AP296" s="37">
        <f>G296*(1-0.310081761)</f>
        <v>0</v>
      </c>
      <c r="AQ296" s="72" t="s">
        <v>243</v>
      </c>
      <c r="AV296" s="37">
        <f t="shared" si="396"/>
        <v>0</v>
      </c>
      <c r="AW296" s="37">
        <f t="shared" si="397"/>
        <v>0</v>
      </c>
      <c r="AX296" s="37">
        <f t="shared" si="398"/>
        <v>0</v>
      </c>
      <c r="AY296" s="72" t="s">
        <v>996</v>
      </c>
      <c r="AZ296" s="72" t="s">
        <v>816</v>
      </c>
      <c r="BA296" s="49" t="s">
        <v>226</v>
      </c>
      <c r="BC296" s="37">
        <f t="shared" si="399"/>
        <v>0</v>
      </c>
      <c r="BD296" s="37">
        <f t="shared" si="400"/>
        <v>0</v>
      </c>
      <c r="BE296" s="37">
        <v>0</v>
      </c>
      <c r="BF296" s="37">
        <f>296</f>
        <v>296</v>
      </c>
      <c r="BH296" s="37">
        <f t="shared" si="401"/>
        <v>0</v>
      </c>
      <c r="BI296" s="37">
        <f t="shared" si="402"/>
        <v>0</v>
      </c>
      <c r="BJ296" s="37">
        <f t="shared" si="403"/>
        <v>0</v>
      </c>
      <c r="BK296" s="37"/>
      <c r="BL296" s="37">
        <v>767</v>
      </c>
      <c r="BW296" s="37">
        <v>21</v>
      </c>
      <c r="BX296" s="3" t="s">
        <v>1002</v>
      </c>
    </row>
    <row r="297" spans="1:76" x14ac:dyDescent="0.25">
      <c r="A297" s="1" t="s">
        <v>1003</v>
      </c>
      <c r="B297" s="2" t="s">
        <v>1004</v>
      </c>
      <c r="C297" s="279" t="s">
        <v>1005</v>
      </c>
      <c r="D297" s="280"/>
      <c r="E297" s="2" t="s">
        <v>333</v>
      </c>
      <c r="F297" s="37">
        <v>1.2</v>
      </c>
      <c r="G297" s="78">
        <v>0</v>
      </c>
      <c r="H297" s="37">
        <f t="shared" si="382"/>
        <v>0</v>
      </c>
      <c r="I297" s="37">
        <f t="shared" si="383"/>
        <v>0</v>
      </c>
      <c r="J297" s="37">
        <f t="shared" si="384"/>
        <v>0</v>
      </c>
      <c r="K297" s="79" t="s">
        <v>334</v>
      </c>
      <c r="Z297" s="37">
        <f t="shared" si="385"/>
        <v>0</v>
      </c>
      <c r="AB297" s="37">
        <f t="shared" si="386"/>
        <v>0</v>
      </c>
      <c r="AC297" s="37">
        <f t="shared" si="387"/>
        <v>0</v>
      </c>
      <c r="AD297" s="37">
        <f t="shared" si="388"/>
        <v>0</v>
      </c>
      <c r="AE297" s="37">
        <f t="shared" si="389"/>
        <v>0</v>
      </c>
      <c r="AF297" s="37">
        <f t="shared" si="390"/>
        <v>0</v>
      </c>
      <c r="AG297" s="37">
        <f t="shared" si="391"/>
        <v>0</v>
      </c>
      <c r="AH297" s="37">
        <f t="shared" si="392"/>
        <v>0</v>
      </c>
      <c r="AI297" s="49" t="s">
        <v>89</v>
      </c>
      <c r="AJ297" s="37">
        <f t="shared" si="393"/>
        <v>0</v>
      </c>
      <c r="AK297" s="37">
        <f t="shared" si="394"/>
        <v>0</v>
      </c>
      <c r="AL297" s="37">
        <f t="shared" si="395"/>
        <v>0</v>
      </c>
      <c r="AN297" s="37">
        <v>21</v>
      </c>
      <c r="AO297" s="37">
        <f>G297*0.4086375</f>
        <v>0</v>
      </c>
      <c r="AP297" s="37">
        <f>G297*(1-0.4086375)</f>
        <v>0</v>
      </c>
      <c r="AQ297" s="72" t="s">
        <v>243</v>
      </c>
      <c r="AV297" s="37">
        <f t="shared" si="396"/>
        <v>0</v>
      </c>
      <c r="AW297" s="37">
        <f t="shared" si="397"/>
        <v>0</v>
      </c>
      <c r="AX297" s="37">
        <f t="shared" si="398"/>
        <v>0</v>
      </c>
      <c r="AY297" s="72" t="s">
        <v>996</v>
      </c>
      <c r="AZ297" s="72" t="s">
        <v>816</v>
      </c>
      <c r="BA297" s="49" t="s">
        <v>226</v>
      </c>
      <c r="BC297" s="37">
        <f t="shared" si="399"/>
        <v>0</v>
      </c>
      <c r="BD297" s="37">
        <f t="shared" si="400"/>
        <v>0</v>
      </c>
      <c r="BE297" s="37">
        <v>0</v>
      </c>
      <c r="BF297" s="37">
        <f>297</f>
        <v>297</v>
      </c>
      <c r="BH297" s="37">
        <f t="shared" si="401"/>
        <v>0</v>
      </c>
      <c r="BI297" s="37">
        <f t="shared" si="402"/>
        <v>0</v>
      </c>
      <c r="BJ297" s="37">
        <f t="shared" si="403"/>
        <v>0</v>
      </c>
      <c r="BK297" s="37"/>
      <c r="BL297" s="37">
        <v>767</v>
      </c>
      <c r="BW297" s="37">
        <v>21</v>
      </c>
      <c r="BX297" s="3" t="s">
        <v>1005</v>
      </c>
    </row>
    <row r="298" spans="1:76" x14ac:dyDescent="0.25">
      <c r="A298" s="1" t="s">
        <v>1006</v>
      </c>
      <c r="B298" s="2" t="s">
        <v>1007</v>
      </c>
      <c r="C298" s="279" t="s">
        <v>1008</v>
      </c>
      <c r="D298" s="280"/>
      <c r="E298" s="2" t="s">
        <v>333</v>
      </c>
      <c r="F298" s="37">
        <v>3.65</v>
      </c>
      <c r="G298" s="78">
        <v>0</v>
      </c>
      <c r="H298" s="37">
        <f t="shared" si="382"/>
        <v>0</v>
      </c>
      <c r="I298" s="37">
        <f t="shared" si="383"/>
        <v>0</v>
      </c>
      <c r="J298" s="37">
        <f t="shared" si="384"/>
        <v>0</v>
      </c>
      <c r="K298" s="79" t="s">
        <v>334</v>
      </c>
      <c r="Z298" s="37">
        <f t="shared" si="385"/>
        <v>0</v>
      </c>
      <c r="AB298" s="37">
        <f t="shared" si="386"/>
        <v>0</v>
      </c>
      <c r="AC298" s="37">
        <f t="shared" si="387"/>
        <v>0</v>
      </c>
      <c r="AD298" s="37">
        <f t="shared" si="388"/>
        <v>0</v>
      </c>
      <c r="AE298" s="37">
        <f t="shared" si="389"/>
        <v>0</v>
      </c>
      <c r="AF298" s="37">
        <f t="shared" si="390"/>
        <v>0</v>
      </c>
      <c r="AG298" s="37">
        <f t="shared" si="391"/>
        <v>0</v>
      </c>
      <c r="AH298" s="37">
        <f t="shared" si="392"/>
        <v>0</v>
      </c>
      <c r="AI298" s="49" t="s">
        <v>89</v>
      </c>
      <c r="AJ298" s="37">
        <f t="shared" si="393"/>
        <v>0</v>
      </c>
      <c r="AK298" s="37">
        <f t="shared" si="394"/>
        <v>0</v>
      </c>
      <c r="AL298" s="37">
        <f t="shared" si="395"/>
        <v>0</v>
      </c>
      <c r="AN298" s="37">
        <v>21</v>
      </c>
      <c r="AO298" s="37">
        <f>G298*0.418774154</f>
        <v>0</v>
      </c>
      <c r="AP298" s="37">
        <f>G298*(1-0.418774154)</f>
        <v>0</v>
      </c>
      <c r="AQ298" s="72" t="s">
        <v>243</v>
      </c>
      <c r="AV298" s="37">
        <f t="shared" si="396"/>
        <v>0</v>
      </c>
      <c r="AW298" s="37">
        <f t="shared" si="397"/>
        <v>0</v>
      </c>
      <c r="AX298" s="37">
        <f t="shared" si="398"/>
        <v>0</v>
      </c>
      <c r="AY298" s="72" t="s">
        <v>996</v>
      </c>
      <c r="AZ298" s="72" t="s">
        <v>816</v>
      </c>
      <c r="BA298" s="49" t="s">
        <v>226</v>
      </c>
      <c r="BC298" s="37">
        <f t="shared" si="399"/>
        <v>0</v>
      </c>
      <c r="BD298" s="37">
        <f t="shared" si="400"/>
        <v>0</v>
      </c>
      <c r="BE298" s="37">
        <v>0</v>
      </c>
      <c r="BF298" s="37">
        <f>298</f>
        <v>298</v>
      </c>
      <c r="BH298" s="37">
        <f t="shared" si="401"/>
        <v>0</v>
      </c>
      <c r="BI298" s="37">
        <f t="shared" si="402"/>
        <v>0</v>
      </c>
      <c r="BJ298" s="37">
        <f t="shared" si="403"/>
        <v>0</v>
      </c>
      <c r="BK298" s="37"/>
      <c r="BL298" s="37">
        <v>767</v>
      </c>
      <c r="BW298" s="37">
        <v>21</v>
      </c>
      <c r="BX298" s="3" t="s">
        <v>1008</v>
      </c>
    </row>
    <row r="299" spans="1:76" x14ac:dyDescent="0.25">
      <c r="A299" s="1" t="s">
        <v>1009</v>
      </c>
      <c r="B299" s="2" t="s">
        <v>1010</v>
      </c>
      <c r="C299" s="279" t="s">
        <v>1011</v>
      </c>
      <c r="D299" s="280"/>
      <c r="E299" s="2" t="s">
        <v>63</v>
      </c>
      <c r="F299" s="37">
        <v>1540.8358000000001</v>
      </c>
      <c r="G299" s="78">
        <v>0</v>
      </c>
      <c r="H299" s="37">
        <f t="shared" si="382"/>
        <v>0</v>
      </c>
      <c r="I299" s="37">
        <f t="shared" si="383"/>
        <v>0</v>
      </c>
      <c r="J299" s="37">
        <f t="shared" si="384"/>
        <v>0</v>
      </c>
      <c r="K299" s="79" t="s">
        <v>223</v>
      </c>
      <c r="Z299" s="37">
        <f t="shared" si="385"/>
        <v>0</v>
      </c>
      <c r="AB299" s="37">
        <f t="shared" si="386"/>
        <v>0</v>
      </c>
      <c r="AC299" s="37">
        <f t="shared" si="387"/>
        <v>0</v>
      </c>
      <c r="AD299" s="37">
        <f t="shared" si="388"/>
        <v>0</v>
      </c>
      <c r="AE299" s="37">
        <f t="shared" si="389"/>
        <v>0</v>
      </c>
      <c r="AF299" s="37">
        <f t="shared" si="390"/>
        <v>0</v>
      </c>
      <c r="AG299" s="37">
        <f t="shared" si="391"/>
        <v>0</v>
      </c>
      <c r="AH299" s="37">
        <f t="shared" si="392"/>
        <v>0</v>
      </c>
      <c r="AI299" s="49" t="s">
        <v>89</v>
      </c>
      <c r="AJ299" s="37">
        <f t="shared" si="393"/>
        <v>0</v>
      </c>
      <c r="AK299" s="37">
        <f t="shared" si="394"/>
        <v>0</v>
      </c>
      <c r="AL299" s="37">
        <f t="shared" si="395"/>
        <v>0</v>
      </c>
      <c r="AN299" s="37">
        <v>21</v>
      </c>
      <c r="AO299" s="37">
        <f>G299*0</f>
        <v>0</v>
      </c>
      <c r="AP299" s="37">
        <f>G299*(1-0)</f>
        <v>0</v>
      </c>
      <c r="AQ299" s="72" t="s">
        <v>237</v>
      </c>
      <c r="AV299" s="37">
        <f t="shared" si="396"/>
        <v>0</v>
      </c>
      <c r="AW299" s="37">
        <f t="shared" si="397"/>
        <v>0</v>
      </c>
      <c r="AX299" s="37">
        <f t="shared" si="398"/>
        <v>0</v>
      </c>
      <c r="AY299" s="72" t="s">
        <v>996</v>
      </c>
      <c r="AZ299" s="72" t="s">
        <v>816</v>
      </c>
      <c r="BA299" s="49" t="s">
        <v>226</v>
      </c>
      <c r="BC299" s="37">
        <f t="shared" si="399"/>
        <v>0</v>
      </c>
      <c r="BD299" s="37">
        <f t="shared" si="400"/>
        <v>0</v>
      </c>
      <c r="BE299" s="37">
        <v>0</v>
      </c>
      <c r="BF299" s="37">
        <f>299</f>
        <v>299</v>
      </c>
      <c r="BH299" s="37">
        <f t="shared" si="401"/>
        <v>0</v>
      </c>
      <c r="BI299" s="37">
        <f t="shared" si="402"/>
        <v>0</v>
      </c>
      <c r="BJ299" s="37">
        <f t="shared" si="403"/>
        <v>0</v>
      </c>
      <c r="BK299" s="37"/>
      <c r="BL299" s="37">
        <v>767</v>
      </c>
      <c r="BW299" s="37">
        <v>21</v>
      </c>
      <c r="BX299" s="3" t="s">
        <v>1011</v>
      </c>
    </row>
    <row r="300" spans="1:76" x14ac:dyDescent="0.25">
      <c r="A300" s="80" t="s">
        <v>4</v>
      </c>
      <c r="B300" s="81" t="s">
        <v>151</v>
      </c>
      <c r="C300" s="365" t="s">
        <v>152</v>
      </c>
      <c r="D300" s="366"/>
      <c r="E300" s="82" t="s">
        <v>81</v>
      </c>
      <c r="F300" s="82" t="s">
        <v>81</v>
      </c>
      <c r="G300" s="83" t="s">
        <v>81</v>
      </c>
      <c r="H300" s="43">
        <f>SUM(H301:H305)</f>
        <v>0</v>
      </c>
      <c r="I300" s="43">
        <f>SUM(I301:I305)</f>
        <v>0</v>
      </c>
      <c r="J300" s="43">
        <f>SUM(J301:J305)</f>
        <v>0</v>
      </c>
      <c r="K300" s="84" t="s">
        <v>4</v>
      </c>
      <c r="AI300" s="49" t="s">
        <v>89</v>
      </c>
      <c r="AS300" s="43">
        <f>SUM(AJ301:AJ305)</f>
        <v>0</v>
      </c>
      <c r="AT300" s="43">
        <f>SUM(AK301:AK305)</f>
        <v>0</v>
      </c>
      <c r="AU300" s="43">
        <f>SUM(AL301:AL305)</f>
        <v>0</v>
      </c>
    </row>
    <row r="301" spans="1:76" x14ac:dyDescent="0.25">
      <c r="A301" s="1" t="s">
        <v>1012</v>
      </c>
      <c r="B301" s="2" t="s">
        <v>1013</v>
      </c>
      <c r="C301" s="279" t="s">
        <v>1014</v>
      </c>
      <c r="D301" s="280"/>
      <c r="E301" s="2" t="s">
        <v>249</v>
      </c>
      <c r="F301" s="37">
        <v>21.77148</v>
      </c>
      <c r="G301" s="78">
        <v>0</v>
      </c>
      <c r="H301" s="37">
        <f>F301*AO301</f>
        <v>0</v>
      </c>
      <c r="I301" s="37">
        <f>F301*AP301</f>
        <v>0</v>
      </c>
      <c r="J301" s="37">
        <f>F301*G301</f>
        <v>0</v>
      </c>
      <c r="K301" s="79" t="s">
        <v>223</v>
      </c>
      <c r="Z301" s="37">
        <f>IF(AQ301="5",BJ301,0)</f>
        <v>0</v>
      </c>
      <c r="AB301" s="37">
        <f>IF(AQ301="1",BH301,0)</f>
        <v>0</v>
      </c>
      <c r="AC301" s="37">
        <f>IF(AQ301="1",BI301,0)</f>
        <v>0</v>
      </c>
      <c r="AD301" s="37">
        <f>IF(AQ301="7",BH301,0)</f>
        <v>0</v>
      </c>
      <c r="AE301" s="37">
        <f>IF(AQ301="7",BI301,0)</f>
        <v>0</v>
      </c>
      <c r="AF301" s="37">
        <f>IF(AQ301="2",BH301,0)</f>
        <v>0</v>
      </c>
      <c r="AG301" s="37">
        <f>IF(AQ301="2",BI301,0)</f>
        <v>0</v>
      </c>
      <c r="AH301" s="37">
        <f>IF(AQ301="0",BJ301,0)</f>
        <v>0</v>
      </c>
      <c r="AI301" s="49" t="s">
        <v>89</v>
      </c>
      <c r="AJ301" s="37">
        <f>IF(AN301=0,J301,0)</f>
        <v>0</v>
      </c>
      <c r="AK301" s="37">
        <f>IF(AN301=12,J301,0)</f>
        <v>0</v>
      </c>
      <c r="AL301" s="37">
        <f>IF(AN301=21,J301,0)</f>
        <v>0</v>
      </c>
      <c r="AN301" s="37">
        <v>21</v>
      </c>
      <c r="AO301" s="37">
        <f>G301*0.472425877</f>
        <v>0</v>
      </c>
      <c r="AP301" s="37">
        <f>G301*(1-0.472425877)</f>
        <v>0</v>
      </c>
      <c r="AQ301" s="72" t="s">
        <v>243</v>
      </c>
      <c r="AV301" s="37">
        <f>AW301+AX301</f>
        <v>0</v>
      </c>
      <c r="AW301" s="37">
        <f>F301*AO301</f>
        <v>0</v>
      </c>
      <c r="AX301" s="37">
        <f>F301*AP301</f>
        <v>0</v>
      </c>
      <c r="AY301" s="72" t="s">
        <v>1015</v>
      </c>
      <c r="AZ301" s="72" t="s">
        <v>1016</v>
      </c>
      <c r="BA301" s="49" t="s">
        <v>226</v>
      </c>
      <c r="BC301" s="37">
        <f>AW301+AX301</f>
        <v>0</v>
      </c>
      <c r="BD301" s="37">
        <f>G301/(100-BE301)*100</f>
        <v>0</v>
      </c>
      <c r="BE301" s="37">
        <v>0</v>
      </c>
      <c r="BF301" s="37">
        <f>301</f>
        <v>301</v>
      </c>
      <c r="BH301" s="37">
        <f>F301*AO301</f>
        <v>0</v>
      </c>
      <c r="BI301" s="37">
        <f>F301*AP301</f>
        <v>0</v>
      </c>
      <c r="BJ301" s="37">
        <f>F301*G301</f>
        <v>0</v>
      </c>
      <c r="BK301" s="37"/>
      <c r="BL301" s="37">
        <v>771</v>
      </c>
      <c r="BW301" s="37">
        <v>21</v>
      </c>
      <c r="BX301" s="3" t="s">
        <v>1014</v>
      </c>
    </row>
    <row r="302" spans="1:76" x14ac:dyDescent="0.25">
      <c r="A302" s="1" t="s">
        <v>1017</v>
      </c>
      <c r="B302" s="2" t="s">
        <v>1018</v>
      </c>
      <c r="C302" s="279" t="s">
        <v>1019</v>
      </c>
      <c r="D302" s="280"/>
      <c r="E302" s="2" t="s">
        <v>249</v>
      </c>
      <c r="F302" s="37">
        <v>21.77148</v>
      </c>
      <c r="G302" s="78">
        <v>0</v>
      </c>
      <c r="H302" s="37">
        <f>F302*AO302</f>
        <v>0</v>
      </c>
      <c r="I302" s="37">
        <f>F302*AP302</f>
        <v>0</v>
      </c>
      <c r="J302" s="37">
        <f>F302*G302</f>
        <v>0</v>
      </c>
      <c r="K302" s="79" t="s">
        <v>223</v>
      </c>
      <c r="Z302" s="37">
        <f>IF(AQ302="5",BJ302,0)</f>
        <v>0</v>
      </c>
      <c r="AB302" s="37">
        <f>IF(AQ302="1",BH302,0)</f>
        <v>0</v>
      </c>
      <c r="AC302" s="37">
        <f>IF(AQ302="1",BI302,0)</f>
        <v>0</v>
      </c>
      <c r="AD302" s="37">
        <f>IF(AQ302="7",BH302,0)</f>
        <v>0</v>
      </c>
      <c r="AE302" s="37">
        <f>IF(AQ302="7",BI302,0)</f>
        <v>0</v>
      </c>
      <c r="AF302" s="37">
        <f>IF(AQ302="2",BH302,0)</f>
        <v>0</v>
      </c>
      <c r="AG302" s="37">
        <f>IF(AQ302="2",BI302,0)</f>
        <v>0</v>
      </c>
      <c r="AH302" s="37">
        <f>IF(AQ302="0",BJ302,0)</f>
        <v>0</v>
      </c>
      <c r="AI302" s="49" t="s">
        <v>89</v>
      </c>
      <c r="AJ302" s="37">
        <f>IF(AN302=0,J302,0)</f>
        <v>0</v>
      </c>
      <c r="AK302" s="37">
        <f>IF(AN302=12,J302,0)</f>
        <v>0</v>
      </c>
      <c r="AL302" s="37">
        <f>IF(AN302=21,J302,0)</f>
        <v>0</v>
      </c>
      <c r="AN302" s="37">
        <v>21</v>
      </c>
      <c r="AO302" s="37">
        <f>G302*0.227771606</f>
        <v>0</v>
      </c>
      <c r="AP302" s="37">
        <f>G302*(1-0.227771606)</f>
        <v>0</v>
      </c>
      <c r="AQ302" s="72" t="s">
        <v>243</v>
      </c>
      <c r="AV302" s="37">
        <f>AW302+AX302</f>
        <v>0</v>
      </c>
      <c r="AW302" s="37">
        <f>F302*AO302</f>
        <v>0</v>
      </c>
      <c r="AX302" s="37">
        <f>F302*AP302</f>
        <v>0</v>
      </c>
      <c r="AY302" s="72" t="s">
        <v>1015</v>
      </c>
      <c r="AZ302" s="72" t="s">
        <v>1016</v>
      </c>
      <c r="BA302" s="49" t="s">
        <v>226</v>
      </c>
      <c r="BC302" s="37">
        <f>AW302+AX302</f>
        <v>0</v>
      </c>
      <c r="BD302" s="37">
        <f>G302/(100-BE302)*100</f>
        <v>0</v>
      </c>
      <c r="BE302" s="37">
        <v>0</v>
      </c>
      <c r="BF302" s="37">
        <f>302</f>
        <v>302</v>
      </c>
      <c r="BH302" s="37">
        <f>F302*AO302</f>
        <v>0</v>
      </c>
      <c r="BI302" s="37">
        <f>F302*AP302</f>
        <v>0</v>
      </c>
      <c r="BJ302" s="37">
        <f>F302*G302</f>
        <v>0</v>
      </c>
      <c r="BK302" s="37"/>
      <c r="BL302" s="37">
        <v>771</v>
      </c>
      <c r="BW302" s="37">
        <v>21</v>
      </c>
      <c r="BX302" s="3" t="s">
        <v>1019</v>
      </c>
    </row>
    <row r="303" spans="1:76" x14ac:dyDescent="0.25">
      <c r="A303" s="1" t="s">
        <v>1020</v>
      </c>
      <c r="B303" s="2" t="s">
        <v>1021</v>
      </c>
      <c r="C303" s="279" t="s">
        <v>1022</v>
      </c>
      <c r="D303" s="280"/>
      <c r="E303" s="2" t="s">
        <v>249</v>
      </c>
      <c r="F303" s="37">
        <v>22.183499999999999</v>
      </c>
      <c r="G303" s="78">
        <v>0</v>
      </c>
      <c r="H303" s="37">
        <f>F303*AO303</f>
        <v>0</v>
      </c>
      <c r="I303" s="37">
        <f>F303*AP303</f>
        <v>0</v>
      </c>
      <c r="J303" s="37">
        <f>F303*G303</f>
        <v>0</v>
      </c>
      <c r="K303" s="79" t="s">
        <v>223</v>
      </c>
      <c r="Z303" s="37">
        <f>IF(AQ303="5",BJ303,0)</f>
        <v>0</v>
      </c>
      <c r="AB303" s="37">
        <f>IF(AQ303="1",BH303,0)</f>
        <v>0</v>
      </c>
      <c r="AC303" s="37">
        <f>IF(AQ303="1",BI303,0)</f>
        <v>0</v>
      </c>
      <c r="AD303" s="37">
        <f>IF(AQ303="7",BH303,0)</f>
        <v>0</v>
      </c>
      <c r="AE303" s="37">
        <f>IF(AQ303="7",BI303,0)</f>
        <v>0</v>
      </c>
      <c r="AF303" s="37">
        <f>IF(AQ303="2",BH303,0)</f>
        <v>0</v>
      </c>
      <c r="AG303" s="37">
        <f>IF(AQ303="2",BI303,0)</f>
        <v>0</v>
      </c>
      <c r="AH303" s="37">
        <f>IF(AQ303="0",BJ303,0)</f>
        <v>0</v>
      </c>
      <c r="AI303" s="49" t="s">
        <v>89</v>
      </c>
      <c r="AJ303" s="37">
        <f>IF(AN303=0,J303,0)</f>
        <v>0</v>
      </c>
      <c r="AK303" s="37">
        <f>IF(AN303=12,J303,0)</f>
        <v>0</v>
      </c>
      <c r="AL303" s="37">
        <f>IF(AN303=21,J303,0)</f>
        <v>0</v>
      </c>
      <c r="AN303" s="37">
        <v>21</v>
      </c>
      <c r="AO303" s="37">
        <f>G303*1</f>
        <v>0</v>
      </c>
      <c r="AP303" s="37">
        <f>G303*(1-1)</f>
        <v>0</v>
      </c>
      <c r="AQ303" s="72" t="s">
        <v>243</v>
      </c>
      <c r="AV303" s="37">
        <f>AW303+AX303</f>
        <v>0</v>
      </c>
      <c r="AW303" s="37">
        <f>F303*AO303</f>
        <v>0</v>
      </c>
      <c r="AX303" s="37">
        <f>F303*AP303</f>
        <v>0</v>
      </c>
      <c r="AY303" s="72" t="s">
        <v>1015</v>
      </c>
      <c r="AZ303" s="72" t="s">
        <v>1016</v>
      </c>
      <c r="BA303" s="49" t="s">
        <v>226</v>
      </c>
      <c r="BC303" s="37">
        <f>AW303+AX303</f>
        <v>0</v>
      </c>
      <c r="BD303" s="37">
        <f>G303/(100-BE303)*100</f>
        <v>0</v>
      </c>
      <c r="BE303" s="37">
        <v>0</v>
      </c>
      <c r="BF303" s="37">
        <f>303</f>
        <v>303</v>
      </c>
      <c r="BH303" s="37">
        <f>F303*AO303</f>
        <v>0</v>
      </c>
      <c r="BI303" s="37">
        <f>F303*AP303</f>
        <v>0</v>
      </c>
      <c r="BJ303" s="37">
        <f>F303*G303</f>
        <v>0</v>
      </c>
      <c r="BK303" s="37"/>
      <c r="BL303" s="37">
        <v>771</v>
      </c>
      <c r="BW303" s="37">
        <v>21</v>
      </c>
      <c r="BX303" s="3" t="s">
        <v>1022</v>
      </c>
    </row>
    <row r="304" spans="1:76" x14ac:dyDescent="0.25">
      <c r="A304" s="1" t="s">
        <v>1023</v>
      </c>
      <c r="B304" s="2" t="s">
        <v>1024</v>
      </c>
      <c r="C304" s="279" t="s">
        <v>1025</v>
      </c>
      <c r="D304" s="280"/>
      <c r="E304" s="2" t="s">
        <v>249</v>
      </c>
      <c r="F304" s="37">
        <v>2.8536999999999999</v>
      </c>
      <c r="G304" s="78">
        <v>0</v>
      </c>
      <c r="H304" s="37">
        <f>F304*AO304</f>
        <v>0</v>
      </c>
      <c r="I304" s="37">
        <f>F304*AP304</f>
        <v>0</v>
      </c>
      <c r="J304" s="37">
        <f>F304*G304</f>
        <v>0</v>
      </c>
      <c r="K304" s="79" t="s">
        <v>223</v>
      </c>
      <c r="Z304" s="37">
        <f>IF(AQ304="5",BJ304,0)</f>
        <v>0</v>
      </c>
      <c r="AB304" s="37">
        <f>IF(AQ304="1",BH304,0)</f>
        <v>0</v>
      </c>
      <c r="AC304" s="37">
        <f>IF(AQ304="1",BI304,0)</f>
        <v>0</v>
      </c>
      <c r="AD304" s="37">
        <f>IF(AQ304="7",BH304,0)</f>
        <v>0</v>
      </c>
      <c r="AE304" s="37">
        <f>IF(AQ304="7",BI304,0)</f>
        <v>0</v>
      </c>
      <c r="AF304" s="37">
        <f>IF(AQ304="2",BH304,0)</f>
        <v>0</v>
      </c>
      <c r="AG304" s="37">
        <f>IF(AQ304="2",BI304,0)</f>
        <v>0</v>
      </c>
      <c r="AH304" s="37">
        <f>IF(AQ304="0",BJ304,0)</f>
        <v>0</v>
      </c>
      <c r="AI304" s="49" t="s">
        <v>89</v>
      </c>
      <c r="AJ304" s="37">
        <f>IF(AN304=0,J304,0)</f>
        <v>0</v>
      </c>
      <c r="AK304" s="37">
        <f>IF(AN304=12,J304,0)</f>
        <v>0</v>
      </c>
      <c r="AL304" s="37">
        <f>IF(AN304=21,J304,0)</f>
        <v>0</v>
      </c>
      <c r="AN304" s="37">
        <v>21</v>
      </c>
      <c r="AO304" s="37">
        <f>G304*1</f>
        <v>0</v>
      </c>
      <c r="AP304" s="37">
        <f>G304*(1-1)</f>
        <v>0</v>
      </c>
      <c r="AQ304" s="72" t="s">
        <v>243</v>
      </c>
      <c r="AV304" s="37">
        <f>AW304+AX304</f>
        <v>0</v>
      </c>
      <c r="AW304" s="37">
        <f>F304*AO304</f>
        <v>0</v>
      </c>
      <c r="AX304" s="37">
        <f>F304*AP304</f>
        <v>0</v>
      </c>
      <c r="AY304" s="72" t="s">
        <v>1015</v>
      </c>
      <c r="AZ304" s="72" t="s">
        <v>1016</v>
      </c>
      <c r="BA304" s="49" t="s">
        <v>226</v>
      </c>
      <c r="BC304" s="37">
        <f>AW304+AX304</f>
        <v>0</v>
      </c>
      <c r="BD304" s="37">
        <f>G304/(100-BE304)*100</f>
        <v>0</v>
      </c>
      <c r="BE304" s="37">
        <v>0</v>
      </c>
      <c r="BF304" s="37">
        <f>304</f>
        <v>304</v>
      </c>
      <c r="BH304" s="37">
        <f>F304*AO304</f>
        <v>0</v>
      </c>
      <c r="BI304" s="37">
        <f>F304*AP304</f>
        <v>0</v>
      </c>
      <c r="BJ304" s="37">
        <f>F304*G304</f>
        <v>0</v>
      </c>
      <c r="BK304" s="37"/>
      <c r="BL304" s="37">
        <v>771</v>
      </c>
      <c r="BW304" s="37">
        <v>21</v>
      </c>
      <c r="BX304" s="3" t="s">
        <v>1025</v>
      </c>
    </row>
    <row r="305" spans="1:76" x14ac:dyDescent="0.25">
      <c r="A305" s="1" t="s">
        <v>1026</v>
      </c>
      <c r="B305" s="2" t="s">
        <v>1027</v>
      </c>
      <c r="C305" s="279" t="s">
        <v>1028</v>
      </c>
      <c r="D305" s="280"/>
      <c r="E305" s="2" t="s">
        <v>63</v>
      </c>
      <c r="F305" s="37">
        <v>368.96940000000001</v>
      </c>
      <c r="G305" s="78">
        <v>0</v>
      </c>
      <c r="H305" s="37">
        <f>F305*AO305</f>
        <v>0</v>
      </c>
      <c r="I305" s="37">
        <f>F305*AP305</f>
        <v>0</v>
      </c>
      <c r="J305" s="37">
        <f>F305*G305</f>
        <v>0</v>
      </c>
      <c r="K305" s="79" t="s">
        <v>223</v>
      </c>
      <c r="Z305" s="37">
        <f>IF(AQ305="5",BJ305,0)</f>
        <v>0</v>
      </c>
      <c r="AB305" s="37">
        <f>IF(AQ305="1",BH305,0)</f>
        <v>0</v>
      </c>
      <c r="AC305" s="37">
        <f>IF(AQ305="1",BI305,0)</f>
        <v>0</v>
      </c>
      <c r="AD305" s="37">
        <f>IF(AQ305="7",BH305,0)</f>
        <v>0</v>
      </c>
      <c r="AE305" s="37">
        <f>IF(AQ305="7",BI305,0)</f>
        <v>0</v>
      </c>
      <c r="AF305" s="37">
        <f>IF(AQ305="2",BH305,0)</f>
        <v>0</v>
      </c>
      <c r="AG305" s="37">
        <f>IF(AQ305="2",BI305,0)</f>
        <v>0</v>
      </c>
      <c r="AH305" s="37">
        <f>IF(AQ305="0",BJ305,0)</f>
        <v>0</v>
      </c>
      <c r="AI305" s="49" t="s">
        <v>89</v>
      </c>
      <c r="AJ305" s="37">
        <f>IF(AN305=0,J305,0)</f>
        <v>0</v>
      </c>
      <c r="AK305" s="37">
        <f>IF(AN305=12,J305,0)</f>
        <v>0</v>
      </c>
      <c r="AL305" s="37">
        <f>IF(AN305=21,J305,0)</f>
        <v>0</v>
      </c>
      <c r="AN305" s="37">
        <v>21</v>
      </c>
      <c r="AO305" s="37">
        <f>G305*0</f>
        <v>0</v>
      </c>
      <c r="AP305" s="37">
        <f>G305*(1-0)</f>
        <v>0</v>
      </c>
      <c r="AQ305" s="72" t="s">
        <v>237</v>
      </c>
      <c r="AV305" s="37">
        <f>AW305+AX305</f>
        <v>0</v>
      </c>
      <c r="AW305" s="37">
        <f>F305*AO305</f>
        <v>0</v>
      </c>
      <c r="AX305" s="37">
        <f>F305*AP305</f>
        <v>0</v>
      </c>
      <c r="AY305" s="72" t="s">
        <v>1015</v>
      </c>
      <c r="AZ305" s="72" t="s">
        <v>1016</v>
      </c>
      <c r="BA305" s="49" t="s">
        <v>226</v>
      </c>
      <c r="BC305" s="37">
        <f>AW305+AX305</f>
        <v>0</v>
      </c>
      <c r="BD305" s="37">
        <f>G305/(100-BE305)*100</f>
        <v>0</v>
      </c>
      <c r="BE305" s="37">
        <v>0</v>
      </c>
      <c r="BF305" s="37">
        <f>305</f>
        <v>305</v>
      </c>
      <c r="BH305" s="37">
        <f>F305*AO305</f>
        <v>0</v>
      </c>
      <c r="BI305" s="37">
        <f>F305*AP305</f>
        <v>0</v>
      </c>
      <c r="BJ305" s="37">
        <f>F305*G305</f>
        <v>0</v>
      </c>
      <c r="BK305" s="37"/>
      <c r="BL305" s="37">
        <v>771</v>
      </c>
      <c r="BW305" s="37">
        <v>21</v>
      </c>
      <c r="BX305" s="3" t="s">
        <v>1028</v>
      </c>
    </row>
    <row r="306" spans="1:76" x14ac:dyDescent="0.25">
      <c r="A306" s="80" t="s">
        <v>4</v>
      </c>
      <c r="B306" s="81" t="s">
        <v>153</v>
      </c>
      <c r="C306" s="365" t="s">
        <v>154</v>
      </c>
      <c r="D306" s="366"/>
      <c r="E306" s="82" t="s">
        <v>81</v>
      </c>
      <c r="F306" s="82" t="s">
        <v>81</v>
      </c>
      <c r="G306" s="83" t="s">
        <v>81</v>
      </c>
      <c r="H306" s="43">
        <f>SUM(H307:H309)</f>
        <v>0</v>
      </c>
      <c r="I306" s="43">
        <f>SUM(I307:I309)</f>
        <v>0</v>
      </c>
      <c r="J306" s="43">
        <f>SUM(J307:J309)</f>
        <v>0</v>
      </c>
      <c r="K306" s="84" t="s">
        <v>4</v>
      </c>
      <c r="AI306" s="49" t="s">
        <v>89</v>
      </c>
      <c r="AS306" s="43">
        <f>SUM(AJ307:AJ309)</f>
        <v>0</v>
      </c>
      <c r="AT306" s="43">
        <f>SUM(AK307:AK309)</f>
        <v>0</v>
      </c>
      <c r="AU306" s="43">
        <f>SUM(AL307:AL309)</f>
        <v>0</v>
      </c>
    </row>
    <row r="307" spans="1:76" x14ac:dyDescent="0.25">
      <c r="A307" s="1" t="s">
        <v>1029</v>
      </c>
      <c r="B307" s="2" t="s">
        <v>1030</v>
      </c>
      <c r="C307" s="279" t="s">
        <v>1031</v>
      </c>
      <c r="D307" s="280"/>
      <c r="E307" s="2" t="s">
        <v>249</v>
      </c>
      <c r="F307" s="37">
        <v>158.09</v>
      </c>
      <c r="G307" s="78">
        <v>0</v>
      </c>
      <c r="H307" s="37">
        <f>F307*AO307</f>
        <v>0</v>
      </c>
      <c r="I307" s="37">
        <f>F307*AP307</f>
        <v>0</v>
      </c>
      <c r="J307" s="37">
        <f>F307*G307</f>
        <v>0</v>
      </c>
      <c r="K307" s="79" t="s">
        <v>223</v>
      </c>
      <c r="Z307" s="37">
        <f>IF(AQ307="5",BJ307,0)</f>
        <v>0</v>
      </c>
      <c r="AB307" s="37">
        <f>IF(AQ307="1",BH307,0)</f>
        <v>0</v>
      </c>
      <c r="AC307" s="37">
        <f>IF(AQ307="1",BI307,0)</f>
        <v>0</v>
      </c>
      <c r="AD307" s="37">
        <f>IF(AQ307="7",BH307,0)</f>
        <v>0</v>
      </c>
      <c r="AE307" s="37">
        <f>IF(AQ307="7",BI307,0)</f>
        <v>0</v>
      </c>
      <c r="AF307" s="37">
        <f>IF(AQ307="2",BH307,0)</f>
        <v>0</v>
      </c>
      <c r="AG307" s="37">
        <f>IF(AQ307="2",BI307,0)</f>
        <v>0</v>
      </c>
      <c r="AH307" s="37">
        <f>IF(AQ307="0",BJ307,0)</f>
        <v>0</v>
      </c>
      <c r="AI307" s="49" t="s">
        <v>89</v>
      </c>
      <c r="AJ307" s="37">
        <f>IF(AN307=0,J307,0)</f>
        <v>0</v>
      </c>
      <c r="AK307" s="37">
        <f>IF(AN307=12,J307,0)</f>
        <v>0</v>
      </c>
      <c r="AL307" s="37">
        <f>IF(AN307=21,J307,0)</f>
        <v>0</v>
      </c>
      <c r="AN307" s="37">
        <v>21</v>
      </c>
      <c r="AO307" s="37">
        <f>G307*0</f>
        <v>0</v>
      </c>
      <c r="AP307" s="37">
        <f>G307*(1-0)</f>
        <v>0</v>
      </c>
      <c r="AQ307" s="72" t="s">
        <v>243</v>
      </c>
      <c r="AV307" s="37">
        <f>AW307+AX307</f>
        <v>0</v>
      </c>
      <c r="AW307" s="37">
        <f>F307*AO307</f>
        <v>0</v>
      </c>
      <c r="AX307" s="37">
        <f>F307*AP307</f>
        <v>0</v>
      </c>
      <c r="AY307" s="72" t="s">
        <v>1032</v>
      </c>
      <c r="AZ307" s="72" t="s">
        <v>1016</v>
      </c>
      <c r="BA307" s="49" t="s">
        <v>226</v>
      </c>
      <c r="BC307" s="37">
        <f>AW307+AX307</f>
        <v>0</v>
      </c>
      <c r="BD307" s="37">
        <f>G307/(100-BE307)*100</f>
        <v>0</v>
      </c>
      <c r="BE307" s="37">
        <v>0</v>
      </c>
      <c r="BF307" s="37">
        <f>307</f>
        <v>307</v>
      </c>
      <c r="BH307" s="37">
        <f>F307*AO307</f>
        <v>0</v>
      </c>
      <c r="BI307" s="37">
        <f>F307*AP307</f>
        <v>0</v>
      </c>
      <c r="BJ307" s="37">
        <f>F307*G307</f>
        <v>0</v>
      </c>
      <c r="BK307" s="37"/>
      <c r="BL307" s="37">
        <v>776</v>
      </c>
      <c r="BW307" s="37">
        <v>21</v>
      </c>
      <c r="BX307" s="3" t="s">
        <v>1031</v>
      </c>
    </row>
    <row r="308" spans="1:76" x14ac:dyDescent="0.25">
      <c r="A308" s="1" t="s">
        <v>1033</v>
      </c>
      <c r="B308" s="2" t="s">
        <v>1034</v>
      </c>
      <c r="C308" s="279" t="s">
        <v>1035</v>
      </c>
      <c r="D308" s="280"/>
      <c r="E308" s="2" t="s">
        <v>249</v>
      </c>
      <c r="F308" s="37">
        <v>158.09</v>
      </c>
      <c r="G308" s="78">
        <v>0</v>
      </c>
      <c r="H308" s="37">
        <f>F308*AO308</f>
        <v>0</v>
      </c>
      <c r="I308" s="37">
        <f>F308*AP308</f>
        <v>0</v>
      </c>
      <c r="J308" s="37">
        <f>F308*G308</f>
        <v>0</v>
      </c>
      <c r="K308" s="79" t="s">
        <v>223</v>
      </c>
      <c r="Z308" s="37">
        <f>IF(AQ308="5",BJ308,0)</f>
        <v>0</v>
      </c>
      <c r="AB308" s="37">
        <f>IF(AQ308="1",BH308,0)</f>
        <v>0</v>
      </c>
      <c r="AC308" s="37">
        <f>IF(AQ308="1",BI308,0)</f>
        <v>0</v>
      </c>
      <c r="AD308" s="37">
        <f>IF(AQ308="7",BH308,0)</f>
        <v>0</v>
      </c>
      <c r="AE308" s="37">
        <f>IF(AQ308="7",BI308,0)</f>
        <v>0</v>
      </c>
      <c r="AF308" s="37">
        <f>IF(AQ308="2",BH308,0)</f>
        <v>0</v>
      </c>
      <c r="AG308" s="37">
        <f>IF(AQ308="2",BI308,0)</f>
        <v>0</v>
      </c>
      <c r="AH308" s="37">
        <f>IF(AQ308="0",BJ308,0)</f>
        <v>0</v>
      </c>
      <c r="AI308" s="49" t="s">
        <v>89</v>
      </c>
      <c r="AJ308" s="37">
        <f>IF(AN308=0,J308,0)</f>
        <v>0</v>
      </c>
      <c r="AK308" s="37">
        <f>IF(AN308=12,J308,0)</f>
        <v>0</v>
      </c>
      <c r="AL308" s="37">
        <f>IF(AN308=21,J308,0)</f>
        <v>0</v>
      </c>
      <c r="AN308" s="37">
        <v>21</v>
      </c>
      <c r="AO308" s="37">
        <f>G308*0.845773509</f>
        <v>0</v>
      </c>
      <c r="AP308" s="37">
        <f>G308*(1-0.845773509)</f>
        <v>0</v>
      </c>
      <c r="AQ308" s="72" t="s">
        <v>243</v>
      </c>
      <c r="AV308" s="37">
        <f>AW308+AX308</f>
        <v>0</v>
      </c>
      <c r="AW308" s="37">
        <f>F308*AO308</f>
        <v>0</v>
      </c>
      <c r="AX308" s="37">
        <f>F308*AP308</f>
        <v>0</v>
      </c>
      <c r="AY308" s="72" t="s">
        <v>1032</v>
      </c>
      <c r="AZ308" s="72" t="s">
        <v>1016</v>
      </c>
      <c r="BA308" s="49" t="s">
        <v>226</v>
      </c>
      <c r="BC308" s="37">
        <f>AW308+AX308</f>
        <v>0</v>
      </c>
      <c r="BD308" s="37">
        <f>G308/(100-BE308)*100</f>
        <v>0</v>
      </c>
      <c r="BE308" s="37">
        <v>0</v>
      </c>
      <c r="BF308" s="37">
        <f>308</f>
        <v>308</v>
      </c>
      <c r="BH308" s="37">
        <f>F308*AO308</f>
        <v>0</v>
      </c>
      <c r="BI308" s="37">
        <f>F308*AP308</f>
        <v>0</v>
      </c>
      <c r="BJ308" s="37">
        <f>F308*G308</f>
        <v>0</v>
      </c>
      <c r="BK308" s="37"/>
      <c r="BL308" s="37">
        <v>776</v>
      </c>
      <c r="BW308" s="37">
        <v>21</v>
      </c>
      <c r="BX308" s="3" t="s">
        <v>1035</v>
      </c>
    </row>
    <row r="309" spans="1:76" x14ac:dyDescent="0.25">
      <c r="A309" s="1" t="s">
        <v>1036</v>
      </c>
      <c r="B309" s="2" t="s">
        <v>1037</v>
      </c>
      <c r="C309" s="279" t="s">
        <v>1038</v>
      </c>
      <c r="D309" s="280"/>
      <c r="E309" s="2" t="s">
        <v>63</v>
      </c>
      <c r="F309" s="37">
        <v>1573.1536000000001</v>
      </c>
      <c r="G309" s="78">
        <v>0</v>
      </c>
      <c r="H309" s="37">
        <f>F309*AO309</f>
        <v>0</v>
      </c>
      <c r="I309" s="37">
        <f>F309*AP309</f>
        <v>0</v>
      </c>
      <c r="J309" s="37">
        <f>F309*G309</f>
        <v>0</v>
      </c>
      <c r="K309" s="79" t="s">
        <v>223</v>
      </c>
      <c r="Z309" s="37">
        <f>IF(AQ309="5",BJ309,0)</f>
        <v>0</v>
      </c>
      <c r="AB309" s="37">
        <f>IF(AQ309="1",BH309,0)</f>
        <v>0</v>
      </c>
      <c r="AC309" s="37">
        <f>IF(AQ309="1",BI309,0)</f>
        <v>0</v>
      </c>
      <c r="AD309" s="37">
        <f>IF(AQ309="7",BH309,0)</f>
        <v>0</v>
      </c>
      <c r="AE309" s="37">
        <f>IF(AQ309="7",BI309,0)</f>
        <v>0</v>
      </c>
      <c r="AF309" s="37">
        <f>IF(AQ309="2",BH309,0)</f>
        <v>0</v>
      </c>
      <c r="AG309" s="37">
        <f>IF(AQ309="2",BI309,0)</f>
        <v>0</v>
      </c>
      <c r="AH309" s="37">
        <f>IF(AQ309="0",BJ309,0)</f>
        <v>0</v>
      </c>
      <c r="AI309" s="49" t="s">
        <v>89</v>
      </c>
      <c r="AJ309" s="37">
        <f>IF(AN309=0,J309,0)</f>
        <v>0</v>
      </c>
      <c r="AK309" s="37">
        <f>IF(AN309=12,J309,0)</f>
        <v>0</v>
      </c>
      <c r="AL309" s="37">
        <f>IF(AN309=21,J309,0)</f>
        <v>0</v>
      </c>
      <c r="AN309" s="37">
        <v>21</v>
      </c>
      <c r="AO309" s="37">
        <f>G309*0</f>
        <v>0</v>
      </c>
      <c r="AP309" s="37">
        <f>G309*(1-0)</f>
        <v>0</v>
      </c>
      <c r="AQ309" s="72" t="s">
        <v>237</v>
      </c>
      <c r="AV309" s="37">
        <f>AW309+AX309</f>
        <v>0</v>
      </c>
      <c r="AW309" s="37">
        <f>F309*AO309</f>
        <v>0</v>
      </c>
      <c r="AX309" s="37">
        <f>F309*AP309</f>
        <v>0</v>
      </c>
      <c r="AY309" s="72" t="s">
        <v>1032</v>
      </c>
      <c r="AZ309" s="72" t="s">
        <v>1016</v>
      </c>
      <c r="BA309" s="49" t="s">
        <v>226</v>
      </c>
      <c r="BC309" s="37">
        <f>AW309+AX309</f>
        <v>0</v>
      </c>
      <c r="BD309" s="37">
        <f>G309/(100-BE309)*100</f>
        <v>0</v>
      </c>
      <c r="BE309" s="37">
        <v>0</v>
      </c>
      <c r="BF309" s="37">
        <f>309</f>
        <v>309</v>
      </c>
      <c r="BH309" s="37">
        <f>F309*AO309</f>
        <v>0</v>
      </c>
      <c r="BI309" s="37">
        <f>F309*AP309</f>
        <v>0</v>
      </c>
      <c r="BJ309" s="37">
        <f>F309*G309</f>
        <v>0</v>
      </c>
      <c r="BK309" s="37"/>
      <c r="BL309" s="37">
        <v>776</v>
      </c>
      <c r="BW309" s="37">
        <v>21</v>
      </c>
      <c r="BX309" s="3" t="s">
        <v>1038</v>
      </c>
    </row>
    <row r="310" spans="1:76" x14ac:dyDescent="0.25">
      <c r="A310" s="80" t="s">
        <v>4</v>
      </c>
      <c r="B310" s="81" t="s">
        <v>155</v>
      </c>
      <c r="C310" s="365" t="s">
        <v>156</v>
      </c>
      <c r="D310" s="366"/>
      <c r="E310" s="82" t="s">
        <v>81</v>
      </c>
      <c r="F310" s="82" t="s">
        <v>81</v>
      </c>
      <c r="G310" s="83" t="s">
        <v>81</v>
      </c>
      <c r="H310" s="43">
        <f>SUM(H311:H316)</f>
        <v>0</v>
      </c>
      <c r="I310" s="43">
        <f>SUM(I311:I316)</f>
        <v>0</v>
      </c>
      <c r="J310" s="43">
        <f>SUM(J311:J316)</f>
        <v>0</v>
      </c>
      <c r="K310" s="84" t="s">
        <v>4</v>
      </c>
      <c r="AI310" s="49" t="s">
        <v>89</v>
      </c>
      <c r="AS310" s="43">
        <f>SUM(AJ311:AJ316)</f>
        <v>0</v>
      </c>
      <c r="AT310" s="43">
        <f>SUM(AK311:AK316)</f>
        <v>0</v>
      </c>
      <c r="AU310" s="43">
        <f>SUM(AL311:AL316)</f>
        <v>0</v>
      </c>
    </row>
    <row r="311" spans="1:76" x14ac:dyDescent="0.25">
      <c r="A311" s="1" t="s">
        <v>1039</v>
      </c>
      <c r="B311" s="2" t="s">
        <v>1040</v>
      </c>
      <c r="C311" s="279" t="s">
        <v>1041</v>
      </c>
      <c r="D311" s="280"/>
      <c r="E311" s="2" t="s">
        <v>249</v>
      </c>
      <c r="F311" s="37">
        <v>41.204999999999998</v>
      </c>
      <c r="G311" s="78">
        <v>0</v>
      </c>
      <c r="H311" s="37">
        <f t="shared" ref="H311:H316" si="404">F311*AO311</f>
        <v>0</v>
      </c>
      <c r="I311" s="37">
        <f t="shared" ref="I311:I316" si="405">F311*AP311</f>
        <v>0</v>
      </c>
      <c r="J311" s="37">
        <f t="shared" ref="J311:J316" si="406">F311*G311</f>
        <v>0</v>
      </c>
      <c r="K311" s="79" t="s">
        <v>223</v>
      </c>
      <c r="Z311" s="37">
        <f t="shared" ref="Z311:Z316" si="407">IF(AQ311="5",BJ311,0)</f>
        <v>0</v>
      </c>
      <c r="AB311" s="37">
        <f t="shared" ref="AB311:AB316" si="408">IF(AQ311="1",BH311,0)</f>
        <v>0</v>
      </c>
      <c r="AC311" s="37">
        <f t="shared" ref="AC311:AC316" si="409">IF(AQ311="1",BI311,0)</f>
        <v>0</v>
      </c>
      <c r="AD311" s="37">
        <f t="shared" ref="AD311:AD316" si="410">IF(AQ311="7",BH311,0)</f>
        <v>0</v>
      </c>
      <c r="AE311" s="37">
        <f t="shared" ref="AE311:AE316" si="411">IF(AQ311="7",BI311,0)</f>
        <v>0</v>
      </c>
      <c r="AF311" s="37">
        <f t="shared" ref="AF311:AF316" si="412">IF(AQ311="2",BH311,0)</f>
        <v>0</v>
      </c>
      <c r="AG311" s="37">
        <f t="shared" ref="AG311:AG316" si="413">IF(AQ311="2",BI311,0)</f>
        <v>0</v>
      </c>
      <c r="AH311" s="37">
        <f t="shared" ref="AH311:AH316" si="414">IF(AQ311="0",BJ311,0)</f>
        <v>0</v>
      </c>
      <c r="AI311" s="49" t="s">
        <v>89</v>
      </c>
      <c r="AJ311" s="37">
        <f t="shared" ref="AJ311:AJ316" si="415">IF(AN311=0,J311,0)</f>
        <v>0</v>
      </c>
      <c r="AK311" s="37">
        <f t="shared" ref="AK311:AK316" si="416">IF(AN311=12,J311,0)</f>
        <v>0</v>
      </c>
      <c r="AL311" s="37">
        <f t="shared" ref="AL311:AL316" si="417">IF(AN311=21,J311,0)</f>
        <v>0</v>
      </c>
      <c r="AN311" s="37">
        <v>21</v>
      </c>
      <c r="AO311" s="37">
        <f>G311*0</f>
        <v>0</v>
      </c>
      <c r="AP311" s="37">
        <f>G311*(1-0)</f>
        <v>0</v>
      </c>
      <c r="AQ311" s="72" t="s">
        <v>243</v>
      </c>
      <c r="AV311" s="37">
        <f t="shared" ref="AV311:AV316" si="418">AW311+AX311</f>
        <v>0</v>
      </c>
      <c r="AW311" s="37">
        <f t="shared" ref="AW311:AW316" si="419">F311*AO311</f>
        <v>0</v>
      </c>
      <c r="AX311" s="37">
        <f t="shared" ref="AX311:AX316" si="420">F311*AP311</f>
        <v>0</v>
      </c>
      <c r="AY311" s="72" t="s">
        <v>1042</v>
      </c>
      <c r="AZ311" s="72" t="s">
        <v>1043</v>
      </c>
      <c r="BA311" s="49" t="s">
        <v>226</v>
      </c>
      <c r="BC311" s="37">
        <f t="shared" ref="BC311:BC316" si="421">AW311+AX311</f>
        <v>0</v>
      </c>
      <c r="BD311" s="37">
        <f t="shared" ref="BD311:BD316" si="422">G311/(100-BE311)*100</f>
        <v>0</v>
      </c>
      <c r="BE311" s="37">
        <v>0</v>
      </c>
      <c r="BF311" s="37">
        <f>311</f>
        <v>311</v>
      </c>
      <c r="BH311" s="37">
        <f t="shared" ref="BH311:BH316" si="423">F311*AO311</f>
        <v>0</v>
      </c>
      <c r="BI311" s="37">
        <f t="shared" ref="BI311:BI316" si="424">F311*AP311</f>
        <v>0</v>
      </c>
      <c r="BJ311" s="37">
        <f t="shared" ref="BJ311:BJ316" si="425">F311*G311</f>
        <v>0</v>
      </c>
      <c r="BK311" s="37"/>
      <c r="BL311" s="37">
        <v>781</v>
      </c>
      <c r="BW311" s="37">
        <v>21</v>
      </c>
      <c r="BX311" s="3" t="s">
        <v>1041</v>
      </c>
    </row>
    <row r="312" spans="1:76" x14ac:dyDescent="0.25">
      <c r="A312" s="1" t="s">
        <v>1044</v>
      </c>
      <c r="B312" s="2" t="s">
        <v>1045</v>
      </c>
      <c r="C312" s="279" t="s">
        <v>1046</v>
      </c>
      <c r="D312" s="280"/>
      <c r="E312" s="2" t="s">
        <v>249</v>
      </c>
      <c r="F312" s="37">
        <v>41.204999999999998</v>
      </c>
      <c r="G312" s="78">
        <v>0</v>
      </c>
      <c r="H312" s="37">
        <f t="shared" si="404"/>
        <v>0</v>
      </c>
      <c r="I312" s="37">
        <f t="shared" si="405"/>
        <v>0</v>
      </c>
      <c r="J312" s="37">
        <f t="shared" si="406"/>
        <v>0</v>
      </c>
      <c r="K312" s="79" t="s">
        <v>223</v>
      </c>
      <c r="Z312" s="37">
        <f t="shared" si="407"/>
        <v>0</v>
      </c>
      <c r="AB312" s="37">
        <f t="shared" si="408"/>
        <v>0</v>
      </c>
      <c r="AC312" s="37">
        <f t="shared" si="409"/>
        <v>0</v>
      </c>
      <c r="AD312" s="37">
        <f t="shared" si="410"/>
        <v>0</v>
      </c>
      <c r="AE312" s="37">
        <f t="shared" si="411"/>
        <v>0</v>
      </c>
      <c r="AF312" s="37">
        <f t="shared" si="412"/>
        <v>0</v>
      </c>
      <c r="AG312" s="37">
        <f t="shared" si="413"/>
        <v>0</v>
      </c>
      <c r="AH312" s="37">
        <f t="shared" si="414"/>
        <v>0</v>
      </c>
      <c r="AI312" s="49" t="s">
        <v>89</v>
      </c>
      <c r="AJ312" s="37">
        <f t="shared" si="415"/>
        <v>0</v>
      </c>
      <c r="AK312" s="37">
        <f t="shared" si="416"/>
        <v>0</v>
      </c>
      <c r="AL312" s="37">
        <f t="shared" si="417"/>
        <v>0</v>
      </c>
      <c r="AN312" s="37">
        <v>21</v>
      </c>
      <c r="AO312" s="37">
        <f>G312*0</f>
        <v>0</v>
      </c>
      <c r="AP312" s="37">
        <f>G312*(1-0)</f>
        <v>0</v>
      </c>
      <c r="AQ312" s="72" t="s">
        <v>243</v>
      </c>
      <c r="AV312" s="37">
        <f t="shared" si="418"/>
        <v>0</v>
      </c>
      <c r="AW312" s="37">
        <f t="shared" si="419"/>
        <v>0</v>
      </c>
      <c r="AX312" s="37">
        <f t="shared" si="420"/>
        <v>0</v>
      </c>
      <c r="AY312" s="72" t="s">
        <v>1042</v>
      </c>
      <c r="AZ312" s="72" t="s">
        <v>1043</v>
      </c>
      <c r="BA312" s="49" t="s">
        <v>226</v>
      </c>
      <c r="BC312" s="37">
        <f t="shared" si="421"/>
        <v>0</v>
      </c>
      <c r="BD312" s="37">
        <f t="shared" si="422"/>
        <v>0</v>
      </c>
      <c r="BE312" s="37">
        <v>0</v>
      </c>
      <c r="BF312" s="37">
        <f>312</f>
        <v>312</v>
      </c>
      <c r="BH312" s="37">
        <f t="shared" si="423"/>
        <v>0</v>
      </c>
      <c r="BI312" s="37">
        <f t="shared" si="424"/>
        <v>0</v>
      </c>
      <c r="BJ312" s="37">
        <f t="shared" si="425"/>
        <v>0</v>
      </c>
      <c r="BK312" s="37"/>
      <c r="BL312" s="37">
        <v>781</v>
      </c>
      <c r="BW312" s="37">
        <v>21</v>
      </c>
      <c r="BX312" s="3" t="s">
        <v>1046</v>
      </c>
    </row>
    <row r="313" spans="1:76" x14ac:dyDescent="0.25">
      <c r="A313" s="1" t="s">
        <v>1047</v>
      </c>
      <c r="B313" s="2" t="s">
        <v>1048</v>
      </c>
      <c r="C313" s="279" t="s">
        <v>1049</v>
      </c>
      <c r="D313" s="280"/>
      <c r="E313" s="2" t="s">
        <v>249</v>
      </c>
      <c r="F313" s="37">
        <v>41.204999999999998</v>
      </c>
      <c r="G313" s="78">
        <v>0</v>
      </c>
      <c r="H313" s="37">
        <f t="shared" si="404"/>
        <v>0</v>
      </c>
      <c r="I313" s="37">
        <f t="shared" si="405"/>
        <v>0</v>
      </c>
      <c r="J313" s="37">
        <f t="shared" si="406"/>
        <v>0</v>
      </c>
      <c r="K313" s="79" t="s">
        <v>223</v>
      </c>
      <c r="Z313" s="37">
        <f t="shared" si="407"/>
        <v>0</v>
      </c>
      <c r="AB313" s="37">
        <f t="shared" si="408"/>
        <v>0</v>
      </c>
      <c r="AC313" s="37">
        <f t="shared" si="409"/>
        <v>0</v>
      </c>
      <c r="AD313" s="37">
        <f t="shared" si="410"/>
        <v>0</v>
      </c>
      <c r="AE313" s="37">
        <f t="shared" si="411"/>
        <v>0</v>
      </c>
      <c r="AF313" s="37">
        <f t="shared" si="412"/>
        <v>0</v>
      </c>
      <c r="AG313" s="37">
        <f t="shared" si="413"/>
        <v>0</v>
      </c>
      <c r="AH313" s="37">
        <f t="shared" si="414"/>
        <v>0</v>
      </c>
      <c r="AI313" s="49" t="s">
        <v>89</v>
      </c>
      <c r="AJ313" s="37">
        <f t="shared" si="415"/>
        <v>0</v>
      </c>
      <c r="AK313" s="37">
        <f t="shared" si="416"/>
        <v>0</v>
      </c>
      <c r="AL313" s="37">
        <f t="shared" si="417"/>
        <v>0</v>
      </c>
      <c r="AN313" s="37">
        <v>21</v>
      </c>
      <c r="AO313" s="37">
        <f>G313*0.402083333</f>
        <v>0</v>
      </c>
      <c r="AP313" s="37">
        <f>G313*(1-0.402083333)</f>
        <v>0</v>
      </c>
      <c r="AQ313" s="72" t="s">
        <v>243</v>
      </c>
      <c r="AV313" s="37">
        <f t="shared" si="418"/>
        <v>0</v>
      </c>
      <c r="AW313" s="37">
        <f t="shared" si="419"/>
        <v>0</v>
      </c>
      <c r="AX313" s="37">
        <f t="shared" si="420"/>
        <v>0</v>
      </c>
      <c r="AY313" s="72" t="s">
        <v>1042</v>
      </c>
      <c r="AZ313" s="72" t="s">
        <v>1043</v>
      </c>
      <c r="BA313" s="49" t="s">
        <v>226</v>
      </c>
      <c r="BC313" s="37">
        <f t="shared" si="421"/>
        <v>0</v>
      </c>
      <c r="BD313" s="37">
        <f t="shared" si="422"/>
        <v>0</v>
      </c>
      <c r="BE313" s="37">
        <v>0</v>
      </c>
      <c r="BF313" s="37">
        <f>313</f>
        <v>313</v>
      </c>
      <c r="BH313" s="37">
        <f t="shared" si="423"/>
        <v>0</v>
      </c>
      <c r="BI313" s="37">
        <f t="shared" si="424"/>
        <v>0</v>
      </c>
      <c r="BJ313" s="37">
        <f t="shared" si="425"/>
        <v>0</v>
      </c>
      <c r="BK313" s="37"/>
      <c r="BL313" s="37">
        <v>781</v>
      </c>
      <c r="BW313" s="37">
        <v>21</v>
      </c>
      <c r="BX313" s="3" t="s">
        <v>1049</v>
      </c>
    </row>
    <row r="314" spans="1:76" x14ac:dyDescent="0.25">
      <c r="A314" s="1" t="s">
        <v>1050</v>
      </c>
      <c r="B314" s="2" t="s">
        <v>1051</v>
      </c>
      <c r="C314" s="279" t="s">
        <v>1052</v>
      </c>
      <c r="D314" s="280"/>
      <c r="E314" s="2" t="s">
        <v>249</v>
      </c>
      <c r="F314" s="37">
        <v>41.204999999999998</v>
      </c>
      <c r="G314" s="78">
        <v>0</v>
      </c>
      <c r="H314" s="37">
        <f t="shared" si="404"/>
        <v>0</v>
      </c>
      <c r="I314" s="37">
        <f t="shared" si="405"/>
        <v>0</v>
      </c>
      <c r="J314" s="37">
        <f t="shared" si="406"/>
        <v>0</v>
      </c>
      <c r="K314" s="79" t="s">
        <v>223</v>
      </c>
      <c r="Z314" s="37">
        <f t="shared" si="407"/>
        <v>0</v>
      </c>
      <c r="AB314" s="37">
        <f t="shared" si="408"/>
        <v>0</v>
      </c>
      <c r="AC314" s="37">
        <f t="shared" si="409"/>
        <v>0</v>
      </c>
      <c r="AD314" s="37">
        <f t="shared" si="410"/>
        <v>0</v>
      </c>
      <c r="AE314" s="37">
        <f t="shared" si="411"/>
        <v>0</v>
      </c>
      <c r="AF314" s="37">
        <f t="shared" si="412"/>
        <v>0</v>
      </c>
      <c r="AG314" s="37">
        <f t="shared" si="413"/>
        <v>0</v>
      </c>
      <c r="AH314" s="37">
        <f t="shared" si="414"/>
        <v>0</v>
      </c>
      <c r="AI314" s="49" t="s">
        <v>89</v>
      </c>
      <c r="AJ314" s="37">
        <f t="shared" si="415"/>
        <v>0</v>
      </c>
      <c r="AK314" s="37">
        <f t="shared" si="416"/>
        <v>0</v>
      </c>
      <c r="AL314" s="37">
        <f t="shared" si="417"/>
        <v>0</v>
      </c>
      <c r="AN314" s="37">
        <v>21</v>
      </c>
      <c r="AO314" s="37">
        <f>G314*0.179140201</f>
        <v>0</v>
      </c>
      <c r="AP314" s="37">
        <f>G314*(1-0.179140201)</f>
        <v>0</v>
      </c>
      <c r="AQ314" s="72" t="s">
        <v>243</v>
      </c>
      <c r="AV314" s="37">
        <f t="shared" si="418"/>
        <v>0</v>
      </c>
      <c r="AW314" s="37">
        <f t="shared" si="419"/>
        <v>0</v>
      </c>
      <c r="AX314" s="37">
        <f t="shared" si="420"/>
        <v>0</v>
      </c>
      <c r="AY314" s="72" t="s">
        <v>1042</v>
      </c>
      <c r="AZ314" s="72" t="s">
        <v>1043</v>
      </c>
      <c r="BA314" s="49" t="s">
        <v>226</v>
      </c>
      <c r="BC314" s="37">
        <f t="shared" si="421"/>
        <v>0</v>
      </c>
      <c r="BD314" s="37">
        <f t="shared" si="422"/>
        <v>0</v>
      </c>
      <c r="BE314" s="37">
        <v>0</v>
      </c>
      <c r="BF314" s="37">
        <f>314</f>
        <v>314</v>
      </c>
      <c r="BH314" s="37">
        <f t="shared" si="423"/>
        <v>0</v>
      </c>
      <c r="BI314" s="37">
        <f t="shared" si="424"/>
        <v>0</v>
      </c>
      <c r="BJ314" s="37">
        <f t="shared" si="425"/>
        <v>0</v>
      </c>
      <c r="BK314" s="37"/>
      <c r="BL314" s="37">
        <v>781</v>
      </c>
      <c r="BW314" s="37">
        <v>21</v>
      </c>
      <c r="BX314" s="3" t="s">
        <v>1052</v>
      </c>
    </row>
    <row r="315" spans="1:76" x14ac:dyDescent="0.25">
      <c r="A315" s="1" t="s">
        <v>1053</v>
      </c>
      <c r="B315" s="2" t="s">
        <v>1054</v>
      </c>
      <c r="C315" s="279" t="s">
        <v>1055</v>
      </c>
      <c r="D315" s="280"/>
      <c r="E315" s="2" t="s">
        <v>249</v>
      </c>
      <c r="F315" s="37">
        <v>49.445999999999998</v>
      </c>
      <c r="G315" s="78">
        <v>0</v>
      </c>
      <c r="H315" s="37">
        <f t="shared" si="404"/>
        <v>0</v>
      </c>
      <c r="I315" s="37">
        <f t="shared" si="405"/>
        <v>0</v>
      </c>
      <c r="J315" s="37">
        <f t="shared" si="406"/>
        <v>0</v>
      </c>
      <c r="K315" s="79" t="s">
        <v>223</v>
      </c>
      <c r="Z315" s="37">
        <f t="shared" si="407"/>
        <v>0</v>
      </c>
      <c r="AB315" s="37">
        <f t="shared" si="408"/>
        <v>0</v>
      </c>
      <c r="AC315" s="37">
        <f t="shared" si="409"/>
        <v>0</v>
      </c>
      <c r="AD315" s="37">
        <f t="shared" si="410"/>
        <v>0</v>
      </c>
      <c r="AE315" s="37">
        <f t="shared" si="411"/>
        <v>0</v>
      </c>
      <c r="AF315" s="37">
        <f t="shared" si="412"/>
        <v>0</v>
      </c>
      <c r="AG315" s="37">
        <f t="shared" si="413"/>
        <v>0</v>
      </c>
      <c r="AH315" s="37">
        <f t="shared" si="414"/>
        <v>0</v>
      </c>
      <c r="AI315" s="49" t="s">
        <v>89</v>
      </c>
      <c r="AJ315" s="37">
        <f t="shared" si="415"/>
        <v>0</v>
      </c>
      <c r="AK315" s="37">
        <f t="shared" si="416"/>
        <v>0</v>
      </c>
      <c r="AL315" s="37">
        <f t="shared" si="417"/>
        <v>0</v>
      </c>
      <c r="AN315" s="37">
        <v>21</v>
      </c>
      <c r="AO315" s="37">
        <f>G315*1</f>
        <v>0</v>
      </c>
      <c r="AP315" s="37">
        <f>G315*(1-1)</f>
        <v>0</v>
      </c>
      <c r="AQ315" s="72" t="s">
        <v>243</v>
      </c>
      <c r="AV315" s="37">
        <f t="shared" si="418"/>
        <v>0</v>
      </c>
      <c r="AW315" s="37">
        <f t="shared" si="419"/>
        <v>0</v>
      </c>
      <c r="AX315" s="37">
        <f t="shared" si="420"/>
        <v>0</v>
      </c>
      <c r="AY315" s="72" t="s">
        <v>1042</v>
      </c>
      <c r="AZ315" s="72" t="s">
        <v>1043</v>
      </c>
      <c r="BA315" s="49" t="s">
        <v>226</v>
      </c>
      <c r="BC315" s="37">
        <f t="shared" si="421"/>
        <v>0</v>
      </c>
      <c r="BD315" s="37">
        <f t="shared" si="422"/>
        <v>0</v>
      </c>
      <c r="BE315" s="37">
        <v>0</v>
      </c>
      <c r="BF315" s="37">
        <f>315</f>
        <v>315</v>
      </c>
      <c r="BH315" s="37">
        <f t="shared" si="423"/>
        <v>0</v>
      </c>
      <c r="BI315" s="37">
        <f t="shared" si="424"/>
        <v>0</v>
      </c>
      <c r="BJ315" s="37">
        <f t="shared" si="425"/>
        <v>0</v>
      </c>
      <c r="BK315" s="37"/>
      <c r="BL315" s="37">
        <v>781</v>
      </c>
      <c r="BW315" s="37">
        <v>21</v>
      </c>
      <c r="BX315" s="3" t="s">
        <v>1055</v>
      </c>
    </row>
    <row r="316" spans="1:76" x14ac:dyDescent="0.25">
      <c r="A316" s="1" t="s">
        <v>1056</v>
      </c>
      <c r="B316" s="2" t="s">
        <v>1057</v>
      </c>
      <c r="C316" s="279" t="s">
        <v>1058</v>
      </c>
      <c r="D316" s="280"/>
      <c r="E316" s="2" t="s">
        <v>63</v>
      </c>
      <c r="F316" s="37">
        <v>741.89189999999996</v>
      </c>
      <c r="G316" s="78">
        <v>0</v>
      </c>
      <c r="H316" s="37">
        <f t="shared" si="404"/>
        <v>0</v>
      </c>
      <c r="I316" s="37">
        <f t="shared" si="405"/>
        <v>0</v>
      </c>
      <c r="J316" s="37">
        <f t="shared" si="406"/>
        <v>0</v>
      </c>
      <c r="K316" s="79" t="s">
        <v>223</v>
      </c>
      <c r="Z316" s="37">
        <f t="shared" si="407"/>
        <v>0</v>
      </c>
      <c r="AB316" s="37">
        <f t="shared" si="408"/>
        <v>0</v>
      </c>
      <c r="AC316" s="37">
        <f t="shared" si="409"/>
        <v>0</v>
      </c>
      <c r="AD316" s="37">
        <f t="shared" si="410"/>
        <v>0</v>
      </c>
      <c r="AE316" s="37">
        <f t="shared" si="411"/>
        <v>0</v>
      </c>
      <c r="AF316" s="37">
        <f t="shared" si="412"/>
        <v>0</v>
      </c>
      <c r="AG316" s="37">
        <f t="shared" si="413"/>
        <v>0</v>
      </c>
      <c r="AH316" s="37">
        <f t="shared" si="414"/>
        <v>0</v>
      </c>
      <c r="AI316" s="49" t="s">
        <v>89</v>
      </c>
      <c r="AJ316" s="37">
        <f t="shared" si="415"/>
        <v>0</v>
      </c>
      <c r="AK316" s="37">
        <f t="shared" si="416"/>
        <v>0</v>
      </c>
      <c r="AL316" s="37">
        <f t="shared" si="417"/>
        <v>0</v>
      </c>
      <c r="AN316" s="37">
        <v>21</v>
      </c>
      <c r="AO316" s="37">
        <f>G316*0</f>
        <v>0</v>
      </c>
      <c r="AP316" s="37">
        <f>G316*(1-0)</f>
        <v>0</v>
      </c>
      <c r="AQ316" s="72" t="s">
        <v>237</v>
      </c>
      <c r="AV316" s="37">
        <f t="shared" si="418"/>
        <v>0</v>
      </c>
      <c r="AW316" s="37">
        <f t="shared" si="419"/>
        <v>0</v>
      </c>
      <c r="AX316" s="37">
        <f t="shared" si="420"/>
        <v>0</v>
      </c>
      <c r="AY316" s="72" t="s">
        <v>1042</v>
      </c>
      <c r="AZ316" s="72" t="s">
        <v>1043</v>
      </c>
      <c r="BA316" s="49" t="s">
        <v>226</v>
      </c>
      <c r="BC316" s="37">
        <f t="shared" si="421"/>
        <v>0</v>
      </c>
      <c r="BD316" s="37">
        <f t="shared" si="422"/>
        <v>0</v>
      </c>
      <c r="BE316" s="37">
        <v>0</v>
      </c>
      <c r="BF316" s="37">
        <f>316</f>
        <v>316</v>
      </c>
      <c r="BH316" s="37">
        <f t="shared" si="423"/>
        <v>0</v>
      </c>
      <c r="BI316" s="37">
        <f t="shared" si="424"/>
        <v>0</v>
      </c>
      <c r="BJ316" s="37">
        <f t="shared" si="425"/>
        <v>0</v>
      </c>
      <c r="BK316" s="37"/>
      <c r="BL316" s="37">
        <v>781</v>
      </c>
      <c r="BW316" s="37">
        <v>21</v>
      </c>
      <c r="BX316" s="3" t="s">
        <v>1058</v>
      </c>
    </row>
    <row r="317" spans="1:76" x14ac:dyDescent="0.25">
      <c r="A317" s="80" t="s">
        <v>4</v>
      </c>
      <c r="B317" s="81" t="s">
        <v>157</v>
      </c>
      <c r="C317" s="365" t="s">
        <v>158</v>
      </c>
      <c r="D317" s="366"/>
      <c r="E317" s="82" t="s">
        <v>81</v>
      </c>
      <c r="F317" s="82" t="s">
        <v>81</v>
      </c>
      <c r="G317" s="83" t="s">
        <v>81</v>
      </c>
      <c r="H317" s="43">
        <f>SUM(H318:H320)</f>
        <v>0</v>
      </c>
      <c r="I317" s="43">
        <f>SUM(I318:I320)</f>
        <v>0</v>
      </c>
      <c r="J317" s="43">
        <f>SUM(J318:J320)</f>
        <v>0</v>
      </c>
      <c r="K317" s="84" t="s">
        <v>4</v>
      </c>
      <c r="AI317" s="49" t="s">
        <v>89</v>
      </c>
      <c r="AS317" s="43">
        <f>SUM(AJ318:AJ320)</f>
        <v>0</v>
      </c>
      <c r="AT317" s="43">
        <f>SUM(AK318:AK320)</f>
        <v>0</v>
      </c>
      <c r="AU317" s="43">
        <f>SUM(AL318:AL320)</f>
        <v>0</v>
      </c>
    </row>
    <row r="318" spans="1:76" x14ac:dyDescent="0.25">
      <c r="A318" s="1" t="s">
        <v>1059</v>
      </c>
      <c r="B318" s="2" t="s">
        <v>1060</v>
      </c>
      <c r="C318" s="279" t="s">
        <v>1061</v>
      </c>
      <c r="D318" s="280"/>
      <c r="E318" s="2" t="s">
        <v>249</v>
      </c>
      <c r="F318" s="37">
        <v>4.242</v>
      </c>
      <c r="G318" s="78">
        <v>0</v>
      </c>
      <c r="H318" s="37">
        <f>F318*AO318</f>
        <v>0</v>
      </c>
      <c r="I318" s="37">
        <f>F318*AP318</f>
        <v>0</v>
      </c>
      <c r="J318" s="37">
        <f>F318*G318</f>
        <v>0</v>
      </c>
      <c r="K318" s="79" t="s">
        <v>223</v>
      </c>
      <c r="Z318" s="37">
        <f>IF(AQ318="5",BJ318,0)</f>
        <v>0</v>
      </c>
      <c r="AB318" s="37">
        <f>IF(AQ318="1",BH318,0)</f>
        <v>0</v>
      </c>
      <c r="AC318" s="37">
        <f>IF(AQ318="1",BI318,0)</f>
        <v>0</v>
      </c>
      <c r="AD318" s="37">
        <f>IF(AQ318="7",BH318,0)</f>
        <v>0</v>
      </c>
      <c r="AE318" s="37">
        <f>IF(AQ318="7",BI318,0)</f>
        <v>0</v>
      </c>
      <c r="AF318" s="37">
        <f>IF(AQ318="2",BH318,0)</f>
        <v>0</v>
      </c>
      <c r="AG318" s="37">
        <f>IF(AQ318="2",BI318,0)</f>
        <v>0</v>
      </c>
      <c r="AH318" s="37">
        <f>IF(AQ318="0",BJ318,0)</f>
        <v>0</v>
      </c>
      <c r="AI318" s="49" t="s">
        <v>89</v>
      </c>
      <c r="AJ318" s="37">
        <f>IF(AN318=0,J318,0)</f>
        <v>0</v>
      </c>
      <c r="AK318" s="37">
        <f>IF(AN318=12,J318,0)</f>
        <v>0</v>
      </c>
      <c r="AL318" s="37">
        <f>IF(AN318=21,J318,0)</f>
        <v>0</v>
      </c>
      <c r="AN318" s="37">
        <v>21</v>
      </c>
      <c r="AO318" s="37">
        <f>G318*0.286091774</f>
        <v>0</v>
      </c>
      <c r="AP318" s="37">
        <f>G318*(1-0.286091774)</f>
        <v>0</v>
      </c>
      <c r="AQ318" s="72" t="s">
        <v>243</v>
      </c>
      <c r="AV318" s="37">
        <f>AW318+AX318</f>
        <v>0</v>
      </c>
      <c r="AW318" s="37">
        <f>F318*AO318</f>
        <v>0</v>
      </c>
      <c r="AX318" s="37">
        <f>F318*AP318</f>
        <v>0</v>
      </c>
      <c r="AY318" s="72" t="s">
        <v>1062</v>
      </c>
      <c r="AZ318" s="72" t="s">
        <v>1043</v>
      </c>
      <c r="BA318" s="49" t="s">
        <v>226</v>
      </c>
      <c r="BC318" s="37">
        <f>AW318+AX318</f>
        <v>0</v>
      </c>
      <c r="BD318" s="37">
        <f>G318/(100-BE318)*100</f>
        <v>0</v>
      </c>
      <c r="BE318" s="37">
        <v>0</v>
      </c>
      <c r="BF318" s="37">
        <f>318</f>
        <v>318</v>
      </c>
      <c r="BH318" s="37">
        <f>F318*AO318</f>
        <v>0</v>
      </c>
      <c r="BI318" s="37">
        <f>F318*AP318</f>
        <v>0</v>
      </c>
      <c r="BJ318" s="37">
        <f>F318*G318</f>
        <v>0</v>
      </c>
      <c r="BK318" s="37"/>
      <c r="BL318" s="37">
        <v>783</v>
      </c>
      <c r="BW318" s="37">
        <v>21</v>
      </c>
      <c r="BX318" s="3" t="s">
        <v>1061</v>
      </c>
    </row>
    <row r="319" spans="1:76" x14ac:dyDescent="0.25">
      <c r="A319" s="1" t="s">
        <v>1063</v>
      </c>
      <c r="B319" s="2" t="s">
        <v>1064</v>
      </c>
      <c r="C319" s="279" t="s">
        <v>1065</v>
      </c>
      <c r="D319" s="280"/>
      <c r="E319" s="2" t="s">
        <v>249</v>
      </c>
      <c r="F319" s="37">
        <v>9.0688800000000001</v>
      </c>
      <c r="G319" s="78">
        <v>0</v>
      </c>
      <c r="H319" s="37">
        <f>F319*AO319</f>
        <v>0</v>
      </c>
      <c r="I319" s="37">
        <f>F319*AP319</f>
        <v>0</v>
      </c>
      <c r="J319" s="37">
        <f>F319*G319</f>
        <v>0</v>
      </c>
      <c r="K319" s="79" t="s">
        <v>223</v>
      </c>
      <c r="Z319" s="37">
        <f>IF(AQ319="5",BJ319,0)</f>
        <v>0</v>
      </c>
      <c r="AB319" s="37">
        <f>IF(AQ319="1",BH319,0)</f>
        <v>0</v>
      </c>
      <c r="AC319" s="37">
        <f>IF(AQ319="1",BI319,0)</f>
        <v>0</v>
      </c>
      <c r="AD319" s="37">
        <f>IF(AQ319="7",BH319,0)</f>
        <v>0</v>
      </c>
      <c r="AE319" s="37">
        <f>IF(AQ319="7",BI319,0)</f>
        <v>0</v>
      </c>
      <c r="AF319" s="37">
        <f>IF(AQ319="2",BH319,0)</f>
        <v>0</v>
      </c>
      <c r="AG319" s="37">
        <f>IF(AQ319="2",BI319,0)</f>
        <v>0</v>
      </c>
      <c r="AH319" s="37">
        <f>IF(AQ319="0",BJ319,0)</f>
        <v>0</v>
      </c>
      <c r="AI319" s="49" t="s">
        <v>89</v>
      </c>
      <c r="AJ319" s="37">
        <f>IF(AN319=0,J319,0)</f>
        <v>0</v>
      </c>
      <c r="AK319" s="37">
        <f>IF(AN319=12,J319,0)</f>
        <v>0</v>
      </c>
      <c r="AL319" s="37">
        <f>IF(AN319=21,J319,0)</f>
        <v>0</v>
      </c>
      <c r="AN319" s="37">
        <v>21</v>
      </c>
      <c r="AO319" s="37">
        <f>G319*0.589294507</f>
        <v>0</v>
      </c>
      <c r="AP319" s="37">
        <f>G319*(1-0.589294507)</f>
        <v>0</v>
      </c>
      <c r="AQ319" s="72" t="s">
        <v>243</v>
      </c>
      <c r="AV319" s="37">
        <f>AW319+AX319</f>
        <v>0</v>
      </c>
      <c r="AW319" s="37">
        <f>F319*AO319</f>
        <v>0</v>
      </c>
      <c r="AX319" s="37">
        <f>F319*AP319</f>
        <v>0</v>
      </c>
      <c r="AY319" s="72" t="s">
        <v>1062</v>
      </c>
      <c r="AZ319" s="72" t="s">
        <v>1043</v>
      </c>
      <c r="BA319" s="49" t="s">
        <v>226</v>
      </c>
      <c r="BC319" s="37">
        <f>AW319+AX319</f>
        <v>0</v>
      </c>
      <c r="BD319" s="37">
        <f>G319/(100-BE319)*100</f>
        <v>0</v>
      </c>
      <c r="BE319" s="37">
        <v>0</v>
      </c>
      <c r="BF319" s="37">
        <f>319</f>
        <v>319</v>
      </c>
      <c r="BH319" s="37">
        <f>F319*AO319</f>
        <v>0</v>
      </c>
      <c r="BI319" s="37">
        <f>F319*AP319</f>
        <v>0</v>
      </c>
      <c r="BJ319" s="37">
        <f>F319*G319</f>
        <v>0</v>
      </c>
      <c r="BK319" s="37"/>
      <c r="BL319" s="37">
        <v>783</v>
      </c>
      <c r="BW319" s="37">
        <v>21</v>
      </c>
      <c r="BX319" s="3" t="s">
        <v>1065</v>
      </c>
    </row>
    <row r="320" spans="1:76" x14ac:dyDescent="0.25">
      <c r="A320" s="1" t="s">
        <v>1066</v>
      </c>
      <c r="B320" s="2" t="s">
        <v>1067</v>
      </c>
      <c r="C320" s="279" t="s">
        <v>1068</v>
      </c>
      <c r="D320" s="280"/>
      <c r="E320" s="2" t="s">
        <v>249</v>
      </c>
      <c r="F320" s="37">
        <v>148.3904</v>
      </c>
      <c r="G320" s="78">
        <v>0</v>
      </c>
      <c r="H320" s="37">
        <f>F320*AO320</f>
        <v>0</v>
      </c>
      <c r="I320" s="37">
        <f>F320*AP320</f>
        <v>0</v>
      </c>
      <c r="J320" s="37">
        <f>F320*G320</f>
        <v>0</v>
      </c>
      <c r="K320" s="79" t="s">
        <v>223</v>
      </c>
      <c r="Z320" s="37">
        <f>IF(AQ320="5",BJ320,0)</f>
        <v>0</v>
      </c>
      <c r="AB320" s="37">
        <f>IF(AQ320="1",BH320,0)</f>
        <v>0</v>
      </c>
      <c r="AC320" s="37">
        <f>IF(AQ320="1",BI320,0)</f>
        <v>0</v>
      </c>
      <c r="AD320" s="37">
        <f>IF(AQ320="7",BH320,0)</f>
        <v>0</v>
      </c>
      <c r="AE320" s="37">
        <f>IF(AQ320="7",BI320,0)</f>
        <v>0</v>
      </c>
      <c r="AF320" s="37">
        <f>IF(AQ320="2",BH320,0)</f>
        <v>0</v>
      </c>
      <c r="AG320" s="37">
        <f>IF(AQ320="2",BI320,0)</f>
        <v>0</v>
      </c>
      <c r="AH320" s="37">
        <f>IF(AQ320="0",BJ320,0)</f>
        <v>0</v>
      </c>
      <c r="AI320" s="49" t="s">
        <v>89</v>
      </c>
      <c r="AJ320" s="37">
        <f>IF(AN320=0,J320,0)</f>
        <v>0</v>
      </c>
      <c r="AK320" s="37">
        <f>IF(AN320=12,J320,0)</f>
        <v>0</v>
      </c>
      <c r="AL320" s="37">
        <f>IF(AN320=21,J320,0)</f>
        <v>0</v>
      </c>
      <c r="AN320" s="37">
        <v>21</v>
      </c>
      <c r="AO320" s="37">
        <f>G320*0.539200902</f>
        <v>0</v>
      </c>
      <c r="AP320" s="37">
        <f>G320*(1-0.539200902)</f>
        <v>0</v>
      </c>
      <c r="AQ320" s="72" t="s">
        <v>243</v>
      </c>
      <c r="AV320" s="37">
        <f>AW320+AX320</f>
        <v>0</v>
      </c>
      <c r="AW320" s="37">
        <f>F320*AO320</f>
        <v>0</v>
      </c>
      <c r="AX320" s="37">
        <f>F320*AP320</f>
        <v>0</v>
      </c>
      <c r="AY320" s="72" t="s">
        <v>1062</v>
      </c>
      <c r="AZ320" s="72" t="s">
        <v>1043</v>
      </c>
      <c r="BA320" s="49" t="s">
        <v>226</v>
      </c>
      <c r="BC320" s="37">
        <f>AW320+AX320</f>
        <v>0</v>
      </c>
      <c r="BD320" s="37">
        <f>G320/(100-BE320)*100</f>
        <v>0</v>
      </c>
      <c r="BE320" s="37">
        <v>0</v>
      </c>
      <c r="BF320" s="37">
        <f>320</f>
        <v>320</v>
      </c>
      <c r="BH320" s="37">
        <f>F320*AO320</f>
        <v>0</v>
      </c>
      <c r="BI320" s="37">
        <f>F320*AP320</f>
        <v>0</v>
      </c>
      <c r="BJ320" s="37">
        <f>F320*G320</f>
        <v>0</v>
      </c>
      <c r="BK320" s="37"/>
      <c r="BL320" s="37">
        <v>783</v>
      </c>
      <c r="BW320" s="37">
        <v>21</v>
      </c>
      <c r="BX320" s="3" t="s">
        <v>1068</v>
      </c>
    </row>
    <row r="321" spans="1:76" x14ac:dyDescent="0.25">
      <c r="A321" s="80" t="s">
        <v>4</v>
      </c>
      <c r="B321" s="81" t="s">
        <v>159</v>
      </c>
      <c r="C321" s="365" t="s">
        <v>160</v>
      </c>
      <c r="D321" s="366"/>
      <c r="E321" s="82" t="s">
        <v>81</v>
      </c>
      <c r="F321" s="82" t="s">
        <v>81</v>
      </c>
      <c r="G321" s="83" t="s">
        <v>81</v>
      </c>
      <c r="H321" s="43">
        <f>SUM(H322:H327)</f>
        <v>0</v>
      </c>
      <c r="I321" s="43">
        <f>SUM(I322:I327)</f>
        <v>0</v>
      </c>
      <c r="J321" s="43">
        <f>SUM(J322:J327)</f>
        <v>0</v>
      </c>
      <c r="K321" s="84" t="s">
        <v>4</v>
      </c>
      <c r="AI321" s="49" t="s">
        <v>89</v>
      </c>
      <c r="AS321" s="43">
        <f>SUM(AJ322:AJ327)</f>
        <v>0</v>
      </c>
      <c r="AT321" s="43">
        <f>SUM(AK322:AK327)</f>
        <v>0</v>
      </c>
      <c r="AU321" s="43">
        <f>SUM(AL322:AL327)</f>
        <v>0</v>
      </c>
    </row>
    <row r="322" spans="1:76" x14ac:dyDescent="0.25">
      <c r="A322" s="1" t="s">
        <v>1069</v>
      </c>
      <c r="B322" s="2" t="s">
        <v>1070</v>
      </c>
      <c r="C322" s="279" t="s">
        <v>1071</v>
      </c>
      <c r="D322" s="280"/>
      <c r="E322" s="2" t="s">
        <v>249</v>
      </c>
      <c r="F322" s="37">
        <v>75.900000000000006</v>
      </c>
      <c r="G322" s="78">
        <v>0</v>
      </c>
      <c r="H322" s="37">
        <f t="shared" ref="H322:H327" si="426">F322*AO322</f>
        <v>0</v>
      </c>
      <c r="I322" s="37">
        <f t="shared" ref="I322:I327" si="427">F322*AP322</f>
        <v>0</v>
      </c>
      <c r="J322" s="37">
        <f t="shared" ref="J322:J327" si="428">F322*G322</f>
        <v>0</v>
      </c>
      <c r="K322" s="79" t="s">
        <v>223</v>
      </c>
      <c r="Z322" s="37">
        <f t="shared" ref="Z322:Z327" si="429">IF(AQ322="5",BJ322,0)</f>
        <v>0</v>
      </c>
      <c r="AB322" s="37">
        <f t="shared" ref="AB322:AB327" si="430">IF(AQ322="1",BH322,0)</f>
        <v>0</v>
      </c>
      <c r="AC322" s="37">
        <f t="shared" ref="AC322:AC327" si="431">IF(AQ322="1",BI322,0)</f>
        <v>0</v>
      </c>
      <c r="AD322" s="37">
        <f t="shared" ref="AD322:AD327" si="432">IF(AQ322="7",BH322,0)</f>
        <v>0</v>
      </c>
      <c r="AE322" s="37">
        <f t="shared" ref="AE322:AE327" si="433">IF(AQ322="7",BI322,0)</f>
        <v>0</v>
      </c>
      <c r="AF322" s="37">
        <f t="shared" ref="AF322:AF327" si="434">IF(AQ322="2",BH322,0)</f>
        <v>0</v>
      </c>
      <c r="AG322" s="37">
        <f t="shared" ref="AG322:AG327" si="435">IF(AQ322="2",BI322,0)</f>
        <v>0</v>
      </c>
      <c r="AH322" s="37">
        <f t="shared" ref="AH322:AH327" si="436">IF(AQ322="0",BJ322,0)</f>
        <v>0</v>
      </c>
      <c r="AI322" s="49" t="s">
        <v>89</v>
      </c>
      <c r="AJ322" s="37">
        <f t="shared" ref="AJ322:AJ327" si="437">IF(AN322=0,J322,0)</f>
        <v>0</v>
      </c>
      <c r="AK322" s="37">
        <f t="shared" ref="AK322:AK327" si="438">IF(AN322=12,J322,0)</f>
        <v>0</v>
      </c>
      <c r="AL322" s="37">
        <f t="shared" ref="AL322:AL327" si="439">IF(AN322=21,J322,0)</f>
        <v>0</v>
      </c>
      <c r="AN322" s="37">
        <v>21</v>
      </c>
      <c r="AO322" s="37">
        <f>G322*0.402955975</f>
        <v>0</v>
      </c>
      <c r="AP322" s="37">
        <f>G322*(1-0.402955975)</f>
        <v>0</v>
      </c>
      <c r="AQ322" s="72" t="s">
        <v>243</v>
      </c>
      <c r="AV322" s="37">
        <f t="shared" ref="AV322:AV327" si="440">AW322+AX322</f>
        <v>0</v>
      </c>
      <c r="AW322" s="37">
        <f t="shared" ref="AW322:AW327" si="441">F322*AO322</f>
        <v>0</v>
      </c>
      <c r="AX322" s="37">
        <f t="shared" ref="AX322:AX327" si="442">F322*AP322</f>
        <v>0</v>
      </c>
      <c r="AY322" s="72" t="s">
        <v>1072</v>
      </c>
      <c r="AZ322" s="72" t="s">
        <v>1043</v>
      </c>
      <c r="BA322" s="49" t="s">
        <v>226</v>
      </c>
      <c r="BC322" s="37">
        <f t="shared" ref="BC322:BC327" si="443">AW322+AX322</f>
        <v>0</v>
      </c>
      <c r="BD322" s="37">
        <f t="shared" ref="BD322:BD327" si="444">G322/(100-BE322)*100</f>
        <v>0</v>
      </c>
      <c r="BE322" s="37">
        <v>0</v>
      </c>
      <c r="BF322" s="37">
        <f>322</f>
        <v>322</v>
      </c>
      <c r="BH322" s="37">
        <f t="shared" ref="BH322:BH327" si="445">F322*AO322</f>
        <v>0</v>
      </c>
      <c r="BI322" s="37">
        <f t="shared" ref="BI322:BI327" si="446">F322*AP322</f>
        <v>0</v>
      </c>
      <c r="BJ322" s="37">
        <f t="shared" ref="BJ322:BJ327" si="447">F322*G322</f>
        <v>0</v>
      </c>
      <c r="BK322" s="37"/>
      <c r="BL322" s="37">
        <v>784</v>
      </c>
      <c r="BW322" s="37">
        <v>21</v>
      </c>
      <c r="BX322" s="3" t="s">
        <v>1071</v>
      </c>
    </row>
    <row r="323" spans="1:76" x14ac:dyDescent="0.25">
      <c r="A323" s="1" t="s">
        <v>1073</v>
      </c>
      <c r="B323" s="2" t="s">
        <v>1074</v>
      </c>
      <c r="C323" s="279" t="s">
        <v>1075</v>
      </c>
      <c r="D323" s="280"/>
      <c r="E323" s="2" t="s">
        <v>249</v>
      </c>
      <c r="F323" s="37">
        <v>85.444999999999993</v>
      </c>
      <c r="G323" s="78">
        <v>0</v>
      </c>
      <c r="H323" s="37">
        <f t="shared" si="426"/>
        <v>0</v>
      </c>
      <c r="I323" s="37">
        <f t="shared" si="427"/>
        <v>0</v>
      </c>
      <c r="J323" s="37">
        <f t="shared" si="428"/>
        <v>0</v>
      </c>
      <c r="K323" s="79" t="s">
        <v>223</v>
      </c>
      <c r="Z323" s="37">
        <f t="shared" si="429"/>
        <v>0</v>
      </c>
      <c r="AB323" s="37">
        <f t="shared" si="430"/>
        <v>0</v>
      </c>
      <c r="AC323" s="37">
        <f t="shared" si="431"/>
        <v>0</v>
      </c>
      <c r="AD323" s="37">
        <f t="shared" si="432"/>
        <v>0</v>
      </c>
      <c r="AE323" s="37">
        <f t="shared" si="433"/>
        <v>0</v>
      </c>
      <c r="AF323" s="37">
        <f t="shared" si="434"/>
        <v>0</v>
      </c>
      <c r="AG323" s="37">
        <f t="shared" si="435"/>
        <v>0</v>
      </c>
      <c r="AH323" s="37">
        <f t="shared" si="436"/>
        <v>0</v>
      </c>
      <c r="AI323" s="49" t="s">
        <v>89</v>
      </c>
      <c r="AJ323" s="37">
        <f t="shared" si="437"/>
        <v>0</v>
      </c>
      <c r="AK323" s="37">
        <f t="shared" si="438"/>
        <v>0</v>
      </c>
      <c r="AL323" s="37">
        <f t="shared" si="439"/>
        <v>0</v>
      </c>
      <c r="AN323" s="37">
        <v>21</v>
      </c>
      <c r="AO323" s="37">
        <f>G323*0.624</f>
        <v>0</v>
      </c>
      <c r="AP323" s="37">
        <f>G323*(1-0.624)</f>
        <v>0</v>
      </c>
      <c r="AQ323" s="72" t="s">
        <v>243</v>
      </c>
      <c r="AV323" s="37">
        <f t="shared" si="440"/>
        <v>0</v>
      </c>
      <c r="AW323" s="37">
        <f t="shared" si="441"/>
        <v>0</v>
      </c>
      <c r="AX323" s="37">
        <f t="shared" si="442"/>
        <v>0</v>
      </c>
      <c r="AY323" s="72" t="s">
        <v>1072</v>
      </c>
      <c r="AZ323" s="72" t="s">
        <v>1043</v>
      </c>
      <c r="BA323" s="49" t="s">
        <v>226</v>
      </c>
      <c r="BC323" s="37">
        <f t="shared" si="443"/>
        <v>0</v>
      </c>
      <c r="BD323" s="37">
        <f t="shared" si="444"/>
        <v>0</v>
      </c>
      <c r="BE323" s="37">
        <v>0</v>
      </c>
      <c r="BF323" s="37">
        <f>323</f>
        <v>323</v>
      </c>
      <c r="BH323" s="37">
        <f t="shared" si="445"/>
        <v>0</v>
      </c>
      <c r="BI323" s="37">
        <f t="shared" si="446"/>
        <v>0</v>
      </c>
      <c r="BJ323" s="37">
        <f t="shared" si="447"/>
        <v>0</v>
      </c>
      <c r="BK323" s="37"/>
      <c r="BL323" s="37">
        <v>784</v>
      </c>
      <c r="BW323" s="37">
        <v>21</v>
      </c>
      <c r="BX323" s="3" t="s">
        <v>1075</v>
      </c>
    </row>
    <row r="324" spans="1:76" x14ac:dyDescent="0.25">
      <c r="A324" s="1" t="s">
        <v>1076</v>
      </c>
      <c r="B324" s="2" t="s">
        <v>1077</v>
      </c>
      <c r="C324" s="279" t="s">
        <v>1078</v>
      </c>
      <c r="D324" s="280"/>
      <c r="E324" s="2" t="s">
        <v>249</v>
      </c>
      <c r="F324" s="37">
        <v>113.2227</v>
      </c>
      <c r="G324" s="78">
        <v>0</v>
      </c>
      <c r="H324" s="37">
        <f t="shared" si="426"/>
        <v>0</v>
      </c>
      <c r="I324" s="37">
        <f t="shared" si="427"/>
        <v>0</v>
      </c>
      <c r="J324" s="37">
        <f t="shared" si="428"/>
        <v>0</v>
      </c>
      <c r="K324" s="79" t="s">
        <v>223</v>
      </c>
      <c r="Z324" s="37">
        <f t="shared" si="429"/>
        <v>0</v>
      </c>
      <c r="AB324" s="37">
        <f t="shared" si="430"/>
        <v>0</v>
      </c>
      <c r="AC324" s="37">
        <f t="shared" si="431"/>
        <v>0</v>
      </c>
      <c r="AD324" s="37">
        <f t="shared" si="432"/>
        <v>0</v>
      </c>
      <c r="AE324" s="37">
        <f t="shared" si="433"/>
        <v>0</v>
      </c>
      <c r="AF324" s="37">
        <f t="shared" si="434"/>
        <v>0</v>
      </c>
      <c r="AG324" s="37">
        <f t="shared" si="435"/>
        <v>0</v>
      </c>
      <c r="AH324" s="37">
        <f t="shared" si="436"/>
        <v>0</v>
      </c>
      <c r="AI324" s="49" t="s">
        <v>89</v>
      </c>
      <c r="AJ324" s="37">
        <f t="shared" si="437"/>
        <v>0</v>
      </c>
      <c r="AK324" s="37">
        <f t="shared" si="438"/>
        <v>0</v>
      </c>
      <c r="AL324" s="37">
        <f t="shared" si="439"/>
        <v>0</v>
      </c>
      <c r="AN324" s="37">
        <v>21</v>
      </c>
      <c r="AO324" s="37">
        <f>G324*0.153915765</f>
        <v>0</v>
      </c>
      <c r="AP324" s="37">
        <f>G324*(1-0.153915765)</f>
        <v>0</v>
      </c>
      <c r="AQ324" s="72" t="s">
        <v>243</v>
      </c>
      <c r="AV324" s="37">
        <f t="shared" si="440"/>
        <v>0</v>
      </c>
      <c r="AW324" s="37">
        <f t="shared" si="441"/>
        <v>0</v>
      </c>
      <c r="AX324" s="37">
        <f t="shared" si="442"/>
        <v>0</v>
      </c>
      <c r="AY324" s="72" t="s">
        <v>1072</v>
      </c>
      <c r="AZ324" s="72" t="s">
        <v>1043</v>
      </c>
      <c r="BA324" s="49" t="s">
        <v>226</v>
      </c>
      <c r="BC324" s="37">
        <f t="shared" si="443"/>
        <v>0</v>
      </c>
      <c r="BD324" s="37">
        <f t="shared" si="444"/>
        <v>0</v>
      </c>
      <c r="BE324" s="37">
        <v>0</v>
      </c>
      <c r="BF324" s="37">
        <f>324</f>
        <v>324</v>
      </c>
      <c r="BH324" s="37">
        <f t="shared" si="445"/>
        <v>0</v>
      </c>
      <c r="BI324" s="37">
        <f t="shared" si="446"/>
        <v>0</v>
      </c>
      <c r="BJ324" s="37">
        <f t="shared" si="447"/>
        <v>0</v>
      </c>
      <c r="BK324" s="37"/>
      <c r="BL324" s="37">
        <v>784</v>
      </c>
      <c r="BW324" s="37">
        <v>21</v>
      </c>
      <c r="BX324" s="3" t="s">
        <v>1078</v>
      </c>
    </row>
    <row r="325" spans="1:76" x14ac:dyDescent="0.25">
      <c r="A325" s="1" t="s">
        <v>1079</v>
      </c>
      <c r="B325" s="2" t="s">
        <v>1080</v>
      </c>
      <c r="C325" s="279" t="s">
        <v>1081</v>
      </c>
      <c r="D325" s="280"/>
      <c r="E325" s="2" t="s">
        <v>249</v>
      </c>
      <c r="F325" s="37">
        <v>113.2227</v>
      </c>
      <c r="G325" s="78">
        <v>0</v>
      </c>
      <c r="H325" s="37">
        <f t="shared" si="426"/>
        <v>0</v>
      </c>
      <c r="I325" s="37">
        <f t="shared" si="427"/>
        <v>0</v>
      </c>
      <c r="J325" s="37">
        <f t="shared" si="428"/>
        <v>0</v>
      </c>
      <c r="K325" s="79" t="s">
        <v>223</v>
      </c>
      <c r="Z325" s="37">
        <f t="shared" si="429"/>
        <v>0</v>
      </c>
      <c r="AB325" s="37">
        <f t="shared" si="430"/>
        <v>0</v>
      </c>
      <c r="AC325" s="37">
        <f t="shared" si="431"/>
        <v>0</v>
      </c>
      <c r="AD325" s="37">
        <f t="shared" si="432"/>
        <v>0</v>
      </c>
      <c r="AE325" s="37">
        <f t="shared" si="433"/>
        <v>0</v>
      </c>
      <c r="AF325" s="37">
        <f t="shared" si="434"/>
        <v>0</v>
      </c>
      <c r="AG325" s="37">
        <f t="shared" si="435"/>
        <v>0</v>
      </c>
      <c r="AH325" s="37">
        <f t="shared" si="436"/>
        <v>0</v>
      </c>
      <c r="AI325" s="49" t="s">
        <v>89</v>
      </c>
      <c r="AJ325" s="37">
        <f t="shared" si="437"/>
        <v>0</v>
      </c>
      <c r="AK325" s="37">
        <f t="shared" si="438"/>
        <v>0</v>
      </c>
      <c r="AL325" s="37">
        <f t="shared" si="439"/>
        <v>0</v>
      </c>
      <c r="AN325" s="37">
        <v>21</v>
      </c>
      <c r="AO325" s="37">
        <f>G325*0.266006875</f>
        <v>0</v>
      </c>
      <c r="AP325" s="37">
        <f>G325*(1-0.266006875)</f>
        <v>0</v>
      </c>
      <c r="AQ325" s="72" t="s">
        <v>243</v>
      </c>
      <c r="AV325" s="37">
        <f t="shared" si="440"/>
        <v>0</v>
      </c>
      <c r="AW325" s="37">
        <f t="shared" si="441"/>
        <v>0</v>
      </c>
      <c r="AX325" s="37">
        <f t="shared" si="442"/>
        <v>0</v>
      </c>
      <c r="AY325" s="72" t="s">
        <v>1072</v>
      </c>
      <c r="AZ325" s="72" t="s">
        <v>1043</v>
      </c>
      <c r="BA325" s="49" t="s">
        <v>226</v>
      </c>
      <c r="BC325" s="37">
        <f t="shared" si="443"/>
        <v>0</v>
      </c>
      <c r="BD325" s="37">
        <f t="shared" si="444"/>
        <v>0</v>
      </c>
      <c r="BE325" s="37">
        <v>0</v>
      </c>
      <c r="BF325" s="37">
        <f>325</f>
        <v>325</v>
      </c>
      <c r="BH325" s="37">
        <f t="shared" si="445"/>
        <v>0</v>
      </c>
      <c r="BI325" s="37">
        <f t="shared" si="446"/>
        <v>0</v>
      </c>
      <c r="BJ325" s="37">
        <f t="shared" si="447"/>
        <v>0</v>
      </c>
      <c r="BK325" s="37"/>
      <c r="BL325" s="37">
        <v>784</v>
      </c>
      <c r="BW325" s="37">
        <v>21</v>
      </c>
      <c r="BX325" s="3" t="s">
        <v>1081</v>
      </c>
    </row>
    <row r="326" spans="1:76" x14ac:dyDescent="0.25">
      <c r="A326" s="1" t="s">
        <v>1082</v>
      </c>
      <c r="B326" s="2" t="s">
        <v>1083</v>
      </c>
      <c r="C326" s="279" t="s">
        <v>1084</v>
      </c>
      <c r="D326" s="280"/>
      <c r="E326" s="2" t="s">
        <v>249</v>
      </c>
      <c r="F326" s="37">
        <v>134.4212</v>
      </c>
      <c r="G326" s="78">
        <v>0</v>
      </c>
      <c r="H326" s="37">
        <f t="shared" si="426"/>
        <v>0</v>
      </c>
      <c r="I326" s="37">
        <f t="shared" si="427"/>
        <v>0</v>
      </c>
      <c r="J326" s="37">
        <f t="shared" si="428"/>
        <v>0</v>
      </c>
      <c r="K326" s="79" t="s">
        <v>223</v>
      </c>
      <c r="Z326" s="37">
        <f t="shared" si="429"/>
        <v>0</v>
      </c>
      <c r="AB326" s="37">
        <f t="shared" si="430"/>
        <v>0</v>
      </c>
      <c r="AC326" s="37">
        <f t="shared" si="431"/>
        <v>0</v>
      </c>
      <c r="AD326" s="37">
        <f t="shared" si="432"/>
        <v>0</v>
      </c>
      <c r="AE326" s="37">
        <f t="shared" si="433"/>
        <v>0</v>
      </c>
      <c r="AF326" s="37">
        <f t="shared" si="434"/>
        <v>0</v>
      </c>
      <c r="AG326" s="37">
        <f t="shared" si="435"/>
        <v>0</v>
      </c>
      <c r="AH326" s="37">
        <f t="shared" si="436"/>
        <v>0</v>
      </c>
      <c r="AI326" s="49" t="s">
        <v>89</v>
      </c>
      <c r="AJ326" s="37">
        <f t="shared" si="437"/>
        <v>0</v>
      </c>
      <c r="AK326" s="37">
        <f t="shared" si="438"/>
        <v>0</v>
      </c>
      <c r="AL326" s="37">
        <f t="shared" si="439"/>
        <v>0</v>
      </c>
      <c r="AN326" s="37">
        <v>21</v>
      </c>
      <c r="AO326" s="37">
        <f>G326*0.598404778</f>
        <v>0</v>
      </c>
      <c r="AP326" s="37">
        <f>G326*(1-0.598404778)</f>
        <v>0</v>
      </c>
      <c r="AQ326" s="72" t="s">
        <v>243</v>
      </c>
      <c r="AV326" s="37">
        <f t="shared" si="440"/>
        <v>0</v>
      </c>
      <c r="AW326" s="37">
        <f t="shared" si="441"/>
        <v>0</v>
      </c>
      <c r="AX326" s="37">
        <f t="shared" si="442"/>
        <v>0</v>
      </c>
      <c r="AY326" s="72" t="s">
        <v>1072</v>
      </c>
      <c r="AZ326" s="72" t="s">
        <v>1043</v>
      </c>
      <c r="BA326" s="49" t="s">
        <v>226</v>
      </c>
      <c r="BC326" s="37">
        <f t="shared" si="443"/>
        <v>0</v>
      </c>
      <c r="BD326" s="37">
        <f t="shared" si="444"/>
        <v>0</v>
      </c>
      <c r="BE326" s="37">
        <v>0</v>
      </c>
      <c r="BF326" s="37">
        <f>326</f>
        <v>326</v>
      </c>
      <c r="BH326" s="37">
        <f t="shared" si="445"/>
        <v>0</v>
      </c>
      <c r="BI326" s="37">
        <f t="shared" si="446"/>
        <v>0</v>
      </c>
      <c r="BJ326" s="37">
        <f t="shared" si="447"/>
        <v>0</v>
      </c>
      <c r="BK326" s="37"/>
      <c r="BL326" s="37">
        <v>784</v>
      </c>
      <c r="BW326" s="37">
        <v>21</v>
      </c>
      <c r="BX326" s="3" t="s">
        <v>1084</v>
      </c>
    </row>
    <row r="327" spans="1:76" x14ac:dyDescent="0.25">
      <c r="A327" s="1" t="s">
        <v>1085</v>
      </c>
      <c r="B327" s="2" t="s">
        <v>1086</v>
      </c>
      <c r="C327" s="279" t="s">
        <v>1087</v>
      </c>
      <c r="D327" s="280"/>
      <c r="E327" s="2" t="s">
        <v>249</v>
      </c>
      <c r="F327" s="37">
        <v>134.4212</v>
      </c>
      <c r="G327" s="78">
        <v>0</v>
      </c>
      <c r="H327" s="37">
        <f t="shared" si="426"/>
        <v>0</v>
      </c>
      <c r="I327" s="37">
        <f t="shared" si="427"/>
        <v>0</v>
      </c>
      <c r="J327" s="37">
        <f t="shared" si="428"/>
        <v>0</v>
      </c>
      <c r="K327" s="79" t="s">
        <v>223</v>
      </c>
      <c r="Z327" s="37">
        <f t="shared" si="429"/>
        <v>0</v>
      </c>
      <c r="AB327" s="37">
        <f t="shared" si="430"/>
        <v>0</v>
      </c>
      <c r="AC327" s="37">
        <f t="shared" si="431"/>
        <v>0</v>
      </c>
      <c r="AD327" s="37">
        <f t="shared" si="432"/>
        <v>0</v>
      </c>
      <c r="AE327" s="37">
        <f t="shared" si="433"/>
        <v>0</v>
      </c>
      <c r="AF327" s="37">
        <f t="shared" si="434"/>
        <v>0</v>
      </c>
      <c r="AG327" s="37">
        <f t="shared" si="435"/>
        <v>0</v>
      </c>
      <c r="AH327" s="37">
        <f t="shared" si="436"/>
        <v>0</v>
      </c>
      <c r="AI327" s="49" t="s">
        <v>89</v>
      </c>
      <c r="AJ327" s="37">
        <f t="shared" si="437"/>
        <v>0</v>
      </c>
      <c r="AK327" s="37">
        <f t="shared" si="438"/>
        <v>0</v>
      </c>
      <c r="AL327" s="37">
        <f t="shared" si="439"/>
        <v>0</v>
      </c>
      <c r="AN327" s="37">
        <v>21</v>
      </c>
      <c r="AO327" s="37">
        <f>G327*0.190844914</f>
        <v>0</v>
      </c>
      <c r="AP327" s="37">
        <f>G327*(1-0.190844914)</f>
        <v>0</v>
      </c>
      <c r="AQ327" s="72" t="s">
        <v>243</v>
      </c>
      <c r="AV327" s="37">
        <f t="shared" si="440"/>
        <v>0</v>
      </c>
      <c r="AW327" s="37">
        <f t="shared" si="441"/>
        <v>0</v>
      </c>
      <c r="AX327" s="37">
        <f t="shared" si="442"/>
        <v>0</v>
      </c>
      <c r="AY327" s="72" t="s">
        <v>1072</v>
      </c>
      <c r="AZ327" s="72" t="s">
        <v>1043</v>
      </c>
      <c r="BA327" s="49" t="s">
        <v>226</v>
      </c>
      <c r="BC327" s="37">
        <f t="shared" si="443"/>
        <v>0</v>
      </c>
      <c r="BD327" s="37">
        <f t="shared" si="444"/>
        <v>0</v>
      </c>
      <c r="BE327" s="37">
        <v>0</v>
      </c>
      <c r="BF327" s="37">
        <f>327</f>
        <v>327</v>
      </c>
      <c r="BH327" s="37">
        <f t="shared" si="445"/>
        <v>0</v>
      </c>
      <c r="BI327" s="37">
        <f t="shared" si="446"/>
        <v>0</v>
      </c>
      <c r="BJ327" s="37">
        <f t="shared" si="447"/>
        <v>0</v>
      </c>
      <c r="BK327" s="37"/>
      <c r="BL327" s="37">
        <v>784</v>
      </c>
      <c r="BW327" s="37">
        <v>21</v>
      </c>
      <c r="BX327" s="3" t="s">
        <v>1087</v>
      </c>
    </row>
    <row r="328" spans="1:76" x14ac:dyDescent="0.25">
      <c r="A328" s="80" t="s">
        <v>4</v>
      </c>
      <c r="B328" s="81" t="s">
        <v>161</v>
      </c>
      <c r="C328" s="365" t="s">
        <v>162</v>
      </c>
      <c r="D328" s="366"/>
      <c r="E328" s="82" t="s">
        <v>81</v>
      </c>
      <c r="F328" s="82" t="s">
        <v>81</v>
      </c>
      <c r="G328" s="83" t="s">
        <v>81</v>
      </c>
      <c r="H328" s="43">
        <f>SUM(H329:H330)</f>
        <v>0</v>
      </c>
      <c r="I328" s="43">
        <f>SUM(I329:I330)</f>
        <v>0</v>
      </c>
      <c r="J328" s="43">
        <f>SUM(J329:J330)</f>
        <v>0</v>
      </c>
      <c r="K328" s="84" t="s">
        <v>4</v>
      </c>
      <c r="AI328" s="49" t="s">
        <v>89</v>
      </c>
      <c r="AS328" s="43">
        <f>SUM(AJ329:AJ330)</f>
        <v>0</v>
      </c>
      <c r="AT328" s="43">
        <f>SUM(AK329:AK330)</f>
        <v>0</v>
      </c>
      <c r="AU328" s="43">
        <f>SUM(AL329:AL330)</f>
        <v>0</v>
      </c>
    </row>
    <row r="329" spans="1:76" x14ac:dyDescent="0.25">
      <c r="A329" s="1" t="s">
        <v>1088</v>
      </c>
      <c r="B329" s="2" t="s">
        <v>1089</v>
      </c>
      <c r="C329" s="279" t="s">
        <v>1090</v>
      </c>
      <c r="D329" s="280"/>
      <c r="E329" s="2" t="s">
        <v>249</v>
      </c>
      <c r="F329" s="37">
        <v>20.187000000000001</v>
      </c>
      <c r="G329" s="78">
        <v>0</v>
      </c>
      <c r="H329" s="37">
        <f>F329*AO329</f>
        <v>0</v>
      </c>
      <c r="I329" s="37">
        <f>F329*AP329</f>
        <v>0</v>
      </c>
      <c r="J329" s="37">
        <f>F329*G329</f>
        <v>0</v>
      </c>
      <c r="K329" s="79" t="s">
        <v>223</v>
      </c>
      <c r="Z329" s="37">
        <f>IF(AQ329="5",BJ329,0)</f>
        <v>0</v>
      </c>
      <c r="AB329" s="37">
        <f>IF(AQ329="1",BH329,0)</f>
        <v>0</v>
      </c>
      <c r="AC329" s="37">
        <f>IF(AQ329="1",BI329,0)</f>
        <v>0</v>
      </c>
      <c r="AD329" s="37">
        <f>IF(AQ329="7",BH329,0)</f>
        <v>0</v>
      </c>
      <c r="AE329" s="37">
        <f>IF(AQ329="7",BI329,0)</f>
        <v>0</v>
      </c>
      <c r="AF329" s="37">
        <f>IF(AQ329="2",BH329,0)</f>
        <v>0</v>
      </c>
      <c r="AG329" s="37">
        <f>IF(AQ329="2",BI329,0)</f>
        <v>0</v>
      </c>
      <c r="AH329" s="37">
        <f>IF(AQ329="0",BJ329,0)</f>
        <v>0</v>
      </c>
      <c r="AI329" s="49" t="s">
        <v>89</v>
      </c>
      <c r="AJ329" s="37">
        <f>IF(AN329=0,J329,0)</f>
        <v>0</v>
      </c>
      <c r="AK329" s="37">
        <f>IF(AN329=12,J329,0)</f>
        <v>0</v>
      </c>
      <c r="AL329" s="37">
        <f>IF(AN329=21,J329,0)</f>
        <v>0</v>
      </c>
      <c r="AN329" s="37">
        <v>21</v>
      </c>
      <c r="AO329" s="37">
        <f>G329*0.782027639</f>
        <v>0</v>
      </c>
      <c r="AP329" s="37">
        <f>G329*(1-0.782027639)</f>
        <v>0</v>
      </c>
      <c r="AQ329" s="72" t="s">
        <v>243</v>
      </c>
      <c r="AV329" s="37">
        <f>AW329+AX329</f>
        <v>0</v>
      </c>
      <c r="AW329" s="37">
        <f>F329*AO329</f>
        <v>0</v>
      </c>
      <c r="AX329" s="37">
        <f>F329*AP329</f>
        <v>0</v>
      </c>
      <c r="AY329" s="72" t="s">
        <v>1091</v>
      </c>
      <c r="AZ329" s="72" t="s">
        <v>1043</v>
      </c>
      <c r="BA329" s="49" t="s">
        <v>226</v>
      </c>
      <c r="BC329" s="37">
        <f>AW329+AX329</f>
        <v>0</v>
      </c>
      <c r="BD329" s="37">
        <f>G329/(100-BE329)*100</f>
        <v>0</v>
      </c>
      <c r="BE329" s="37">
        <v>0</v>
      </c>
      <c r="BF329" s="37">
        <f>329</f>
        <v>329</v>
      </c>
      <c r="BH329" s="37">
        <f>F329*AO329</f>
        <v>0</v>
      </c>
      <c r="BI329" s="37">
        <f>F329*AP329</f>
        <v>0</v>
      </c>
      <c r="BJ329" s="37">
        <f>F329*G329</f>
        <v>0</v>
      </c>
      <c r="BK329" s="37"/>
      <c r="BL329" s="37">
        <v>786</v>
      </c>
      <c r="BW329" s="37">
        <v>21</v>
      </c>
      <c r="BX329" s="3" t="s">
        <v>1090</v>
      </c>
    </row>
    <row r="330" spans="1:76" x14ac:dyDescent="0.25">
      <c r="A330" s="1" t="s">
        <v>1092</v>
      </c>
      <c r="B330" s="2" t="s">
        <v>1093</v>
      </c>
      <c r="C330" s="279" t="s">
        <v>1094</v>
      </c>
      <c r="D330" s="280"/>
      <c r="E330" s="2" t="s">
        <v>63</v>
      </c>
      <c r="F330" s="37">
        <v>168.30510000000001</v>
      </c>
      <c r="G330" s="78">
        <v>0</v>
      </c>
      <c r="H330" s="37">
        <f>F330*AO330</f>
        <v>0</v>
      </c>
      <c r="I330" s="37">
        <f>F330*AP330</f>
        <v>0</v>
      </c>
      <c r="J330" s="37">
        <f>F330*G330</f>
        <v>0</v>
      </c>
      <c r="K330" s="79" t="s">
        <v>236</v>
      </c>
      <c r="Z330" s="37">
        <f>IF(AQ330="5",BJ330,0)</f>
        <v>0</v>
      </c>
      <c r="AB330" s="37">
        <f>IF(AQ330="1",BH330,0)</f>
        <v>0</v>
      </c>
      <c r="AC330" s="37">
        <f>IF(AQ330="1",BI330,0)</f>
        <v>0</v>
      </c>
      <c r="AD330" s="37">
        <f>IF(AQ330="7",BH330,0)</f>
        <v>0</v>
      </c>
      <c r="AE330" s="37">
        <f>IF(AQ330="7",BI330,0)</f>
        <v>0</v>
      </c>
      <c r="AF330" s="37">
        <f>IF(AQ330="2",BH330,0)</f>
        <v>0</v>
      </c>
      <c r="AG330" s="37">
        <f>IF(AQ330="2",BI330,0)</f>
        <v>0</v>
      </c>
      <c r="AH330" s="37">
        <f>IF(AQ330="0",BJ330,0)</f>
        <v>0</v>
      </c>
      <c r="AI330" s="49" t="s">
        <v>89</v>
      </c>
      <c r="AJ330" s="37">
        <f>IF(AN330=0,J330,0)</f>
        <v>0</v>
      </c>
      <c r="AK330" s="37">
        <f>IF(AN330=12,J330,0)</f>
        <v>0</v>
      </c>
      <c r="AL330" s="37">
        <f>IF(AN330=21,J330,0)</f>
        <v>0</v>
      </c>
      <c r="AN330" s="37">
        <v>21</v>
      </c>
      <c r="AO330" s="37">
        <f>G330*0</f>
        <v>0</v>
      </c>
      <c r="AP330" s="37">
        <f>G330*(1-0)</f>
        <v>0</v>
      </c>
      <c r="AQ330" s="72" t="s">
        <v>237</v>
      </c>
      <c r="AV330" s="37">
        <f>AW330+AX330</f>
        <v>0</v>
      </c>
      <c r="AW330" s="37">
        <f>F330*AO330</f>
        <v>0</v>
      </c>
      <c r="AX330" s="37">
        <f>F330*AP330</f>
        <v>0</v>
      </c>
      <c r="AY330" s="72" t="s">
        <v>1091</v>
      </c>
      <c r="AZ330" s="72" t="s">
        <v>1043</v>
      </c>
      <c r="BA330" s="49" t="s">
        <v>226</v>
      </c>
      <c r="BC330" s="37">
        <f>AW330+AX330</f>
        <v>0</v>
      </c>
      <c r="BD330" s="37">
        <f>G330/(100-BE330)*100</f>
        <v>0</v>
      </c>
      <c r="BE330" s="37">
        <v>0</v>
      </c>
      <c r="BF330" s="37">
        <f>330</f>
        <v>330</v>
      </c>
      <c r="BH330" s="37">
        <f>F330*AO330</f>
        <v>0</v>
      </c>
      <c r="BI330" s="37">
        <f>F330*AP330</f>
        <v>0</v>
      </c>
      <c r="BJ330" s="37">
        <f>F330*G330</f>
        <v>0</v>
      </c>
      <c r="BK330" s="37"/>
      <c r="BL330" s="37">
        <v>786</v>
      </c>
      <c r="BW330" s="37">
        <v>21</v>
      </c>
      <c r="BX330" s="3" t="s">
        <v>1094</v>
      </c>
    </row>
    <row r="331" spans="1:76" x14ac:dyDescent="0.25">
      <c r="A331" s="80" t="s">
        <v>4</v>
      </c>
      <c r="B331" s="81" t="s">
        <v>163</v>
      </c>
      <c r="C331" s="365" t="s">
        <v>164</v>
      </c>
      <c r="D331" s="366"/>
      <c r="E331" s="82" t="s">
        <v>81</v>
      </c>
      <c r="F331" s="82" t="s">
        <v>81</v>
      </c>
      <c r="G331" s="83" t="s">
        <v>81</v>
      </c>
      <c r="H331" s="43">
        <f>SUM(H332:H334)</f>
        <v>0</v>
      </c>
      <c r="I331" s="43">
        <f>SUM(I332:I334)</f>
        <v>0</v>
      </c>
      <c r="J331" s="43">
        <f>SUM(J332:J334)</f>
        <v>0</v>
      </c>
      <c r="K331" s="84" t="s">
        <v>4</v>
      </c>
      <c r="AI331" s="49" t="s">
        <v>89</v>
      </c>
      <c r="AS331" s="43">
        <f>SUM(AJ332:AJ334)</f>
        <v>0</v>
      </c>
      <c r="AT331" s="43">
        <f>SUM(AK332:AK334)</f>
        <v>0</v>
      </c>
      <c r="AU331" s="43">
        <f>SUM(AL332:AL334)</f>
        <v>0</v>
      </c>
    </row>
    <row r="332" spans="1:76" x14ac:dyDescent="0.25">
      <c r="A332" s="1" t="s">
        <v>1095</v>
      </c>
      <c r="B332" s="2" t="s">
        <v>1096</v>
      </c>
      <c r="C332" s="279" t="s">
        <v>1097</v>
      </c>
      <c r="D332" s="280"/>
      <c r="E332" s="2" t="s">
        <v>249</v>
      </c>
      <c r="F332" s="37">
        <v>3.04</v>
      </c>
      <c r="G332" s="78">
        <v>0</v>
      </c>
      <c r="H332" s="37">
        <f>F332*AO332</f>
        <v>0</v>
      </c>
      <c r="I332" s="37">
        <f>F332*AP332</f>
        <v>0</v>
      </c>
      <c r="J332" s="37">
        <f>F332*G332</f>
        <v>0</v>
      </c>
      <c r="K332" s="79" t="s">
        <v>223</v>
      </c>
      <c r="Z332" s="37">
        <f>IF(AQ332="5",BJ332,0)</f>
        <v>0</v>
      </c>
      <c r="AB332" s="37">
        <f>IF(AQ332="1",BH332,0)</f>
        <v>0</v>
      </c>
      <c r="AC332" s="37">
        <f>IF(AQ332="1",BI332,0)</f>
        <v>0</v>
      </c>
      <c r="AD332" s="37">
        <f>IF(AQ332="7",BH332,0)</f>
        <v>0</v>
      </c>
      <c r="AE332" s="37">
        <f>IF(AQ332="7",BI332,0)</f>
        <v>0</v>
      </c>
      <c r="AF332" s="37">
        <f>IF(AQ332="2",BH332,0)</f>
        <v>0</v>
      </c>
      <c r="AG332" s="37">
        <f>IF(AQ332="2",BI332,0)</f>
        <v>0</v>
      </c>
      <c r="AH332" s="37">
        <f>IF(AQ332="0",BJ332,0)</f>
        <v>0</v>
      </c>
      <c r="AI332" s="49" t="s">
        <v>89</v>
      </c>
      <c r="AJ332" s="37">
        <f>IF(AN332=0,J332,0)</f>
        <v>0</v>
      </c>
      <c r="AK332" s="37">
        <f>IF(AN332=12,J332,0)</f>
        <v>0</v>
      </c>
      <c r="AL332" s="37">
        <f>IF(AN332=21,J332,0)</f>
        <v>0</v>
      </c>
      <c r="AN332" s="37">
        <v>21</v>
      </c>
      <c r="AO332" s="37">
        <f>G332*0.653682984</f>
        <v>0</v>
      </c>
      <c r="AP332" s="37">
        <f>G332*(1-0.653682984)</f>
        <v>0</v>
      </c>
      <c r="AQ332" s="72" t="s">
        <v>243</v>
      </c>
      <c r="AV332" s="37">
        <f>AW332+AX332</f>
        <v>0</v>
      </c>
      <c r="AW332" s="37">
        <f>F332*AO332</f>
        <v>0</v>
      </c>
      <c r="AX332" s="37">
        <f>F332*AP332</f>
        <v>0</v>
      </c>
      <c r="AY332" s="72" t="s">
        <v>1098</v>
      </c>
      <c r="AZ332" s="72" t="s">
        <v>1043</v>
      </c>
      <c r="BA332" s="49" t="s">
        <v>226</v>
      </c>
      <c r="BC332" s="37">
        <f>AW332+AX332</f>
        <v>0</v>
      </c>
      <c r="BD332" s="37">
        <f>G332/(100-BE332)*100</f>
        <v>0</v>
      </c>
      <c r="BE332" s="37">
        <v>0</v>
      </c>
      <c r="BF332" s="37">
        <f>332</f>
        <v>332</v>
      </c>
      <c r="BH332" s="37">
        <f>F332*AO332</f>
        <v>0</v>
      </c>
      <c r="BI332" s="37">
        <f>F332*AP332</f>
        <v>0</v>
      </c>
      <c r="BJ332" s="37">
        <f>F332*G332</f>
        <v>0</v>
      </c>
      <c r="BK332" s="37"/>
      <c r="BL332" s="37">
        <v>787</v>
      </c>
      <c r="BW332" s="37">
        <v>21</v>
      </c>
      <c r="BX332" s="3" t="s">
        <v>1097</v>
      </c>
    </row>
    <row r="333" spans="1:76" x14ac:dyDescent="0.25">
      <c r="A333" s="1" t="s">
        <v>1099</v>
      </c>
      <c r="B333" s="2" t="s">
        <v>1100</v>
      </c>
      <c r="C333" s="279" t="s">
        <v>1101</v>
      </c>
      <c r="D333" s="280"/>
      <c r="E333" s="2" t="s">
        <v>329</v>
      </c>
      <c r="F333" s="37">
        <v>2</v>
      </c>
      <c r="G333" s="78">
        <v>0</v>
      </c>
      <c r="H333" s="37">
        <f>F333*AO333</f>
        <v>0</v>
      </c>
      <c r="I333" s="37">
        <f>F333*AP333</f>
        <v>0</v>
      </c>
      <c r="J333" s="37">
        <f>F333*G333</f>
        <v>0</v>
      </c>
      <c r="K333" s="79" t="s">
        <v>223</v>
      </c>
      <c r="Z333" s="37">
        <f>IF(AQ333="5",BJ333,0)</f>
        <v>0</v>
      </c>
      <c r="AB333" s="37">
        <f>IF(AQ333="1",BH333,0)</f>
        <v>0</v>
      </c>
      <c r="AC333" s="37">
        <f>IF(AQ333="1",BI333,0)</f>
        <v>0</v>
      </c>
      <c r="AD333" s="37">
        <f>IF(AQ333="7",BH333,0)</f>
        <v>0</v>
      </c>
      <c r="AE333" s="37">
        <f>IF(AQ333="7",BI333,0)</f>
        <v>0</v>
      </c>
      <c r="AF333" s="37">
        <f>IF(AQ333="2",BH333,0)</f>
        <v>0</v>
      </c>
      <c r="AG333" s="37">
        <f>IF(AQ333="2",BI333,0)</f>
        <v>0</v>
      </c>
      <c r="AH333" s="37">
        <f>IF(AQ333="0",BJ333,0)</f>
        <v>0</v>
      </c>
      <c r="AI333" s="49" t="s">
        <v>89</v>
      </c>
      <c r="AJ333" s="37">
        <f>IF(AN333=0,J333,0)</f>
        <v>0</v>
      </c>
      <c r="AK333" s="37">
        <f>IF(AN333=12,J333,0)</f>
        <v>0</v>
      </c>
      <c r="AL333" s="37">
        <f>IF(AN333=21,J333,0)</f>
        <v>0</v>
      </c>
      <c r="AN333" s="37">
        <v>21</v>
      </c>
      <c r="AO333" s="37">
        <f>G333*1</f>
        <v>0</v>
      </c>
      <c r="AP333" s="37">
        <f>G333*(1-1)</f>
        <v>0</v>
      </c>
      <c r="AQ333" s="72" t="s">
        <v>243</v>
      </c>
      <c r="AV333" s="37">
        <f>AW333+AX333</f>
        <v>0</v>
      </c>
      <c r="AW333" s="37">
        <f>F333*AO333</f>
        <v>0</v>
      </c>
      <c r="AX333" s="37">
        <f>F333*AP333</f>
        <v>0</v>
      </c>
      <c r="AY333" s="72" t="s">
        <v>1098</v>
      </c>
      <c r="AZ333" s="72" t="s">
        <v>1043</v>
      </c>
      <c r="BA333" s="49" t="s">
        <v>226</v>
      </c>
      <c r="BC333" s="37">
        <f>AW333+AX333</f>
        <v>0</v>
      </c>
      <c r="BD333" s="37">
        <f>G333/(100-BE333)*100</f>
        <v>0</v>
      </c>
      <c r="BE333" s="37">
        <v>0</v>
      </c>
      <c r="BF333" s="37">
        <f>333</f>
        <v>333</v>
      </c>
      <c r="BH333" s="37">
        <f>F333*AO333</f>
        <v>0</v>
      </c>
      <c r="BI333" s="37">
        <f>F333*AP333</f>
        <v>0</v>
      </c>
      <c r="BJ333" s="37">
        <f>F333*G333</f>
        <v>0</v>
      </c>
      <c r="BK333" s="37"/>
      <c r="BL333" s="37">
        <v>787</v>
      </c>
      <c r="BW333" s="37">
        <v>21</v>
      </c>
      <c r="BX333" s="3" t="s">
        <v>1101</v>
      </c>
    </row>
    <row r="334" spans="1:76" x14ac:dyDescent="0.25">
      <c r="A334" s="1" t="s">
        <v>1102</v>
      </c>
      <c r="B334" s="2" t="s">
        <v>1103</v>
      </c>
      <c r="C334" s="279" t="s">
        <v>1104</v>
      </c>
      <c r="D334" s="280"/>
      <c r="E334" s="2" t="s">
        <v>63</v>
      </c>
      <c r="F334" s="37">
        <v>396.08319999999998</v>
      </c>
      <c r="G334" s="78">
        <v>0</v>
      </c>
      <c r="H334" s="37">
        <f>F334*AO334</f>
        <v>0</v>
      </c>
      <c r="I334" s="37">
        <f>F334*AP334</f>
        <v>0</v>
      </c>
      <c r="J334" s="37">
        <f>F334*G334</f>
        <v>0</v>
      </c>
      <c r="K334" s="79" t="s">
        <v>223</v>
      </c>
      <c r="Z334" s="37">
        <f>IF(AQ334="5",BJ334,0)</f>
        <v>0</v>
      </c>
      <c r="AB334" s="37">
        <f>IF(AQ334="1",BH334,0)</f>
        <v>0</v>
      </c>
      <c r="AC334" s="37">
        <f>IF(AQ334="1",BI334,0)</f>
        <v>0</v>
      </c>
      <c r="AD334" s="37">
        <f>IF(AQ334="7",BH334,0)</f>
        <v>0</v>
      </c>
      <c r="AE334" s="37">
        <f>IF(AQ334="7",BI334,0)</f>
        <v>0</v>
      </c>
      <c r="AF334" s="37">
        <f>IF(AQ334="2",BH334,0)</f>
        <v>0</v>
      </c>
      <c r="AG334" s="37">
        <f>IF(AQ334="2",BI334,0)</f>
        <v>0</v>
      </c>
      <c r="AH334" s="37">
        <f>IF(AQ334="0",BJ334,0)</f>
        <v>0</v>
      </c>
      <c r="AI334" s="49" t="s">
        <v>89</v>
      </c>
      <c r="AJ334" s="37">
        <f>IF(AN334=0,J334,0)</f>
        <v>0</v>
      </c>
      <c r="AK334" s="37">
        <f>IF(AN334=12,J334,0)</f>
        <v>0</v>
      </c>
      <c r="AL334" s="37">
        <f>IF(AN334=21,J334,0)</f>
        <v>0</v>
      </c>
      <c r="AN334" s="37">
        <v>21</v>
      </c>
      <c r="AO334" s="37">
        <f>G334*0</f>
        <v>0</v>
      </c>
      <c r="AP334" s="37">
        <f>G334*(1-0)</f>
        <v>0</v>
      </c>
      <c r="AQ334" s="72" t="s">
        <v>237</v>
      </c>
      <c r="AV334" s="37">
        <f>AW334+AX334</f>
        <v>0</v>
      </c>
      <c r="AW334" s="37">
        <f>F334*AO334</f>
        <v>0</v>
      </c>
      <c r="AX334" s="37">
        <f>F334*AP334</f>
        <v>0</v>
      </c>
      <c r="AY334" s="72" t="s">
        <v>1098</v>
      </c>
      <c r="AZ334" s="72" t="s">
        <v>1043</v>
      </c>
      <c r="BA334" s="49" t="s">
        <v>226</v>
      </c>
      <c r="BC334" s="37">
        <f>AW334+AX334</f>
        <v>0</v>
      </c>
      <c r="BD334" s="37">
        <f>G334/(100-BE334)*100</f>
        <v>0</v>
      </c>
      <c r="BE334" s="37">
        <v>0</v>
      </c>
      <c r="BF334" s="37">
        <f>334</f>
        <v>334</v>
      </c>
      <c r="BH334" s="37">
        <f>F334*AO334</f>
        <v>0</v>
      </c>
      <c r="BI334" s="37">
        <f>F334*AP334</f>
        <v>0</v>
      </c>
      <c r="BJ334" s="37">
        <f>F334*G334</f>
        <v>0</v>
      </c>
      <c r="BK334" s="37"/>
      <c r="BL334" s="37">
        <v>787</v>
      </c>
      <c r="BW334" s="37">
        <v>21</v>
      </c>
      <c r="BX334" s="3" t="s">
        <v>1104</v>
      </c>
    </row>
    <row r="335" spans="1:76" x14ac:dyDescent="0.25">
      <c r="A335" s="80" t="s">
        <v>4</v>
      </c>
      <c r="B335" s="81" t="s">
        <v>165</v>
      </c>
      <c r="C335" s="365" t="s">
        <v>166</v>
      </c>
      <c r="D335" s="366"/>
      <c r="E335" s="82" t="s">
        <v>81</v>
      </c>
      <c r="F335" s="82" t="s">
        <v>81</v>
      </c>
      <c r="G335" s="83" t="s">
        <v>81</v>
      </c>
      <c r="H335" s="43">
        <f>SUM(H336:H336)</f>
        <v>0</v>
      </c>
      <c r="I335" s="43">
        <f>SUM(I336:I336)</f>
        <v>0</v>
      </c>
      <c r="J335" s="43">
        <f>SUM(J336:J336)</f>
        <v>0</v>
      </c>
      <c r="K335" s="84" t="s">
        <v>4</v>
      </c>
      <c r="AI335" s="49" t="s">
        <v>89</v>
      </c>
      <c r="AS335" s="43">
        <f>SUM(AJ336:AJ336)</f>
        <v>0</v>
      </c>
      <c r="AT335" s="43">
        <f>SUM(AK336:AK336)</f>
        <v>0</v>
      </c>
      <c r="AU335" s="43">
        <f>SUM(AL336:AL336)</f>
        <v>0</v>
      </c>
    </row>
    <row r="336" spans="1:76" ht="25.5" x14ac:dyDescent="0.25">
      <c r="A336" s="1" t="s">
        <v>1105</v>
      </c>
      <c r="B336" s="2" t="s">
        <v>1106</v>
      </c>
      <c r="C336" s="279" t="s">
        <v>1107</v>
      </c>
      <c r="D336" s="280"/>
      <c r="E336" s="2" t="s">
        <v>333</v>
      </c>
      <c r="F336" s="37">
        <v>4</v>
      </c>
      <c r="G336" s="78">
        <v>0</v>
      </c>
      <c r="H336" s="37">
        <f>F336*AO336</f>
        <v>0</v>
      </c>
      <c r="I336" s="37">
        <f>F336*AP336</f>
        <v>0</v>
      </c>
      <c r="J336" s="37">
        <f>F336*G336</f>
        <v>0</v>
      </c>
      <c r="K336" s="79" t="s">
        <v>223</v>
      </c>
      <c r="Z336" s="37">
        <f>IF(AQ336="5",BJ336,0)</f>
        <v>0</v>
      </c>
      <c r="AB336" s="37">
        <f>IF(AQ336="1",BH336,0)</f>
        <v>0</v>
      </c>
      <c r="AC336" s="37">
        <f>IF(AQ336="1",BI336,0)</f>
        <v>0</v>
      </c>
      <c r="AD336" s="37">
        <f>IF(AQ336="7",BH336,0)</f>
        <v>0</v>
      </c>
      <c r="AE336" s="37">
        <f>IF(AQ336="7",BI336,0)</f>
        <v>0</v>
      </c>
      <c r="AF336" s="37">
        <f>IF(AQ336="2",BH336,0)</f>
        <v>0</v>
      </c>
      <c r="AG336" s="37">
        <f>IF(AQ336="2",BI336,0)</f>
        <v>0</v>
      </c>
      <c r="AH336" s="37">
        <f>IF(AQ336="0",BJ336,0)</f>
        <v>0</v>
      </c>
      <c r="AI336" s="49" t="s">
        <v>89</v>
      </c>
      <c r="AJ336" s="37">
        <f>IF(AN336=0,J336,0)</f>
        <v>0</v>
      </c>
      <c r="AK336" s="37">
        <f>IF(AN336=12,J336,0)</f>
        <v>0</v>
      </c>
      <c r="AL336" s="37">
        <f>IF(AN336=21,J336,0)</f>
        <v>0</v>
      </c>
      <c r="AN336" s="37">
        <v>21</v>
      </c>
      <c r="AO336" s="37">
        <f>G336*0.299327766</f>
        <v>0</v>
      </c>
      <c r="AP336" s="37">
        <f>G336*(1-0.299327766)</f>
        <v>0</v>
      </c>
      <c r="AQ336" s="72" t="s">
        <v>219</v>
      </c>
      <c r="AV336" s="37">
        <f>AW336+AX336</f>
        <v>0</v>
      </c>
      <c r="AW336" s="37">
        <f>F336*AO336</f>
        <v>0</v>
      </c>
      <c r="AX336" s="37">
        <f>F336*AP336</f>
        <v>0</v>
      </c>
      <c r="AY336" s="72" t="s">
        <v>1108</v>
      </c>
      <c r="AZ336" s="72" t="s">
        <v>1109</v>
      </c>
      <c r="BA336" s="49" t="s">
        <v>226</v>
      </c>
      <c r="BC336" s="37">
        <f>AW336+AX336</f>
        <v>0</v>
      </c>
      <c r="BD336" s="37">
        <f>G336/(100-BE336)*100</f>
        <v>0</v>
      </c>
      <c r="BE336" s="37">
        <v>0</v>
      </c>
      <c r="BF336" s="37">
        <f>336</f>
        <v>336</v>
      </c>
      <c r="BH336" s="37">
        <f>F336*AO336</f>
        <v>0</v>
      </c>
      <c r="BI336" s="37">
        <f>F336*AP336</f>
        <v>0</v>
      </c>
      <c r="BJ336" s="37">
        <f>F336*G336</f>
        <v>0</v>
      </c>
      <c r="BK336" s="37"/>
      <c r="BL336" s="37">
        <v>83</v>
      </c>
      <c r="BW336" s="37">
        <v>21</v>
      </c>
      <c r="BX336" s="3" t="s">
        <v>1107</v>
      </c>
    </row>
    <row r="337" spans="1:76" x14ac:dyDescent="0.25">
      <c r="A337" s="80" t="s">
        <v>4</v>
      </c>
      <c r="B337" s="81" t="s">
        <v>167</v>
      </c>
      <c r="C337" s="365" t="s">
        <v>168</v>
      </c>
      <c r="D337" s="366"/>
      <c r="E337" s="82" t="s">
        <v>81</v>
      </c>
      <c r="F337" s="82" t="s">
        <v>81</v>
      </c>
      <c r="G337" s="83" t="s">
        <v>81</v>
      </c>
      <c r="H337" s="43">
        <f>SUM(H338:H341)</f>
        <v>0</v>
      </c>
      <c r="I337" s="43">
        <f>SUM(I338:I341)</f>
        <v>0</v>
      </c>
      <c r="J337" s="43">
        <f>SUM(J338:J341)</f>
        <v>0</v>
      </c>
      <c r="K337" s="84" t="s">
        <v>4</v>
      </c>
      <c r="AI337" s="49" t="s">
        <v>89</v>
      </c>
      <c r="AS337" s="43">
        <f>SUM(AJ338:AJ341)</f>
        <v>0</v>
      </c>
      <c r="AT337" s="43">
        <f>SUM(AK338:AK341)</f>
        <v>0</v>
      </c>
      <c r="AU337" s="43">
        <f>SUM(AL338:AL341)</f>
        <v>0</v>
      </c>
    </row>
    <row r="338" spans="1:76" ht="25.5" x14ac:dyDescent="0.25">
      <c r="A338" s="1" t="s">
        <v>1110</v>
      </c>
      <c r="B338" s="2" t="s">
        <v>1111</v>
      </c>
      <c r="C338" s="279" t="s">
        <v>1112</v>
      </c>
      <c r="D338" s="280"/>
      <c r="E338" s="2" t="s">
        <v>329</v>
      </c>
      <c r="F338" s="37">
        <v>1</v>
      </c>
      <c r="G338" s="78">
        <v>0</v>
      </c>
      <c r="H338" s="37">
        <f>F338*AO338</f>
        <v>0</v>
      </c>
      <c r="I338" s="37">
        <f>F338*AP338</f>
        <v>0</v>
      </c>
      <c r="J338" s="37">
        <f>F338*G338</f>
        <v>0</v>
      </c>
      <c r="K338" s="79" t="s">
        <v>223</v>
      </c>
      <c r="Z338" s="37">
        <f>IF(AQ338="5",BJ338,0)</f>
        <v>0</v>
      </c>
      <c r="AB338" s="37">
        <f>IF(AQ338="1",BH338,0)</f>
        <v>0</v>
      </c>
      <c r="AC338" s="37">
        <f>IF(AQ338="1",BI338,0)</f>
        <v>0</v>
      </c>
      <c r="AD338" s="37">
        <f>IF(AQ338="7",BH338,0)</f>
        <v>0</v>
      </c>
      <c r="AE338" s="37">
        <f>IF(AQ338="7",BI338,0)</f>
        <v>0</v>
      </c>
      <c r="AF338" s="37">
        <f>IF(AQ338="2",BH338,0)</f>
        <v>0</v>
      </c>
      <c r="AG338" s="37">
        <f>IF(AQ338="2",BI338,0)</f>
        <v>0</v>
      </c>
      <c r="AH338" s="37">
        <f>IF(AQ338="0",BJ338,0)</f>
        <v>0</v>
      </c>
      <c r="AI338" s="49" t="s">
        <v>89</v>
      </c>
      <c r="AJ338" s="37">
        <f>IF(AN338=0,J338,0)</f>
        <v>0</v>
      </c>
      <c r="AK338" s="37">
        <f>IF(AN338=12,J338,0)</f>
        <v>0</v>
      </c>
      <c r="AL338" s="37">
        <f>IF(AN338=21,J338,0)</f>
        <v>0</v>
      </c>
      <c r="AN338" s="37">
        <v>21</v>
      </c>
      <c r="AO338" s="37">
        <f>G338*0.653818526</f>
        <v>0</v>
      </c>
      <c r="AP338" s="37">
        <f>G338*(1-0.653818526)</f>
        <v>0</v>
      </c>
      <c r="AQ338" s="72" t="s">
        <v>219</v>
      </c>
      <c r="AV338" s="37">
        <f>AW338+AX338</f>
        <v>0</v>
      </c>
      <c r="AW338" s="37">
        <f>F338*AO338</f>
        <v>0</v>
      </c>
      <c r="AX338" s="37">
        <f>F338*AP338</f>
        <v>0</v>
      </c>
      <c r="AY338" s="72" t="s">
        <v>1113</v>
      </c>
      <c r="AZ338" s="72" t="s">
        <v>1109</v>
      </c>
      <c r="BA338" s="49" t="s">
        <v>226</v>
      </c>
      <c r="BC338" s="37">
        <f>AW338+AX338</f>
        <v>0</v>
      </c>
      <c r="BD338" s="37">
        <f>G338/(100-BE338)*100</f>
        <v>0</v>
      </c>
      <c r="BE338" s="37">
        <v>0</v>
      </c>
      <c r="BF338" s="37">
        <f>338</f>
        <v>338</v>
      </c>
      <c r="BH338" s="37">
        <f>F338*AO338</f>
        <v>0</v>
      </c>
      <c r="BI338" s="37">
        <f>F338*AP338</f>
        <v>0</v>
      </c>
      <c r="BJ338" s="37">
        <f>F338*G338</f>
        <v>0</v>
      </c>
      <c r="BK338" s="37"/>
      <c r="BL338" s="37">
        <v>87</v>
      </c>
      <c r="BW338" s="37">
        <v>21</v>
      </c>
      <c r="BX338" s="3" t="s">
        <v>1112</v>
      </c>
    </row>
    <row r="339" spans="1:76" x14ac:dyDescent="0.25">
      <c r="A339" s="1" t="s">
        <v>1114</v>
      </c>
      <c r="B339" s="2" t="s">
        <v>1115</v>
      </c>
      <c r="C339" s="279" t="s">
        <v>1116</v>
      </c>
      <c r="D339" s="280"/>
      <c r="E339" s="2" t="s">
        <v>329</v>
      </c>
      <c r="F339" s="37">
        <v>1</v>
      </c>
      <c r="G339" s="78">
        <v>0</v>
      </c>
      <c r="H339" s="37">
        <f>F339*AO339</f>
        <v>0</v>
      </c>
      <c r="I339" s="37">
        <f>F339*AP339</f>
        <v>0</v>
      </c>
      <c r="J339" s="37">
        <f>F339*G339</f>
        <v>0</v>
      </c>
      <c r="K339" s="79" t="s">
        <v>223</v>
      </c>
      <c r="Z339" s="37">
        <f>IF(AQ339="5",BJ339,0)</f>
        <v>0</v>
      </c>
      <c r="AB339" s="37">
        <f>IF(AQ339="1",BH339,0)</f>
        <v>0</v>
      </c>
      <c r="AC339" s="37">
        <f>IF(AQ339="1",BI339,0)</f>
        <v>0</v>
      </c>
      <c r="AD339" s="37">
        <f>IF(AQ339="7",BH339,0)</f>
        <v>0</v>
      </c>
      <c r="AE339" s="37">
        <f>IF(AQ339="7",BI339,0)</f>
        <v>0</v>
      </c>
      <c r="AF339" s="37">
        <f>IF(AQ339="2",BH339,0)</f>
        <v>0</v>
      </c>
      <c r="AG339" s="37">
        <f>IF(AQ339="2",BI339,0)</f>
        <v>0</v>
      </c>
      <c r="AH339" s="37">
        <f>IF(AQ339="0",BJ339,0)</f>
        <v>0</v>
      </c>
      <c r="AI339" s="49" t="s">
        <v>89</v>
      </c>
      <c r="AJ339" s="37">
        <f>IF(AN339=0,J339,0)</f>
        <v>0</v>
      </c>
      <c r="AK339" s="37">
        <f>IF(AN339=12,J339,0)</f>
        <v>0</v>
      </c>
      <c r="AL339" s="37">
        <f>IF(AN339=21,J339,0)</f>
        <v>0</v>
      </c>
      <c r="AN339" s="37">
        <v>21</v>
      </c>
      <c r="AO339" s="37">
        <f>G339*0.009346734</f>
        <v>0</v>
      </c>
      <c r="AP339" s="37">
        <f>G339*(1-0.009346734)</f>
        <v>0</v>
      </c>
      <c r="AQ339" s="72" t="s">
        <v>219</v>
      </c>
      <c r="AV339" s="37">
        <f>AW339+AX339</f>
        <v>0</v>
      </c>
      <c r="AW339" s="37">
        <f>F339*AO339</f>
        <v>0</v>
      </c>
      <c r="AX339" s="37">
        <f>F339*AP339</f>
        <v>0</v>
      </c>
      <c r="AY339" s="72" t="s">
        <v>1113</v>
      </c>
      <c r="AZ339" s="72" t="s">
        <v>1109</v>
      </c>
      <c r="BA339" s="49" t="s">
        <v>226</v>
      </c>
      <c r="BC339" s="37">
        <f>AW339+AX339</f>
        <v>0</v>
      </c>
      <c r="BD339" s="37">
        <f>G339/(100-BE339)*100</f>
        <v>0</v>
      </c>
      <c r="BE339" s="37">
        <v>0</v>
      </c>
      <c r="BF339" s="37">
        <f>339</f>
        <v>339</v>
      </c>
      <c r="BH339" s="37">
        <f>F339*AO339</f>
        <v>0</v>
      </c>
      <c r="BI339" s="37">
        <f>F339*AP339</f>
        <v>0</v>
      </c>
      <c r="BJ339" s="37">
        <f>F339*G339</f>
        <v>0</v>
      </c>
      <c r="BK339" s="37"/>
      <c r="BL339" s="37">
        <v>87</v>
      </c>
      <c r="BW339" s="37">
        <v>21</v>
      </c>
      <c r="BX339" s="3" t="s">
        <v>1116</v>
      </c>
    </row>
    <row r="340" spans="1:76" x14ac:dyDescent="0.25">
      <c r="A340" s="1" t="s">
        <v>1117</v>
      </c>
      <c r="B340" s="2" t="s">
        <v>1118</v>
      </c>
      <c r="C340" s="279" t="s">
        <v>1119</v>
      </c>
      <c r="D340" s="280"/>
      <c r="E340" s="2" t="s">
        <v>329</v>
      </c>
      <c r="F340" s="37">
        <v>1</v>
      </c>
      <c r="G340" s="78">
        <v>0</v>
      </c>
      <c r="H340" s="37">
        <f>F340*AO340</f>
        <v>0</v>
      </c>
      <c r="I340" s="37">
        <f>F340*AP340</f>
        <v>0</v>
      </c>
      <c r="J340" s="37">
        <f>F340*G340</f>
        <v>0</v>
      </c>
      <c r="K340" s="79" t="s">
        <v>223</v>
      </c>
      <c r="Z340" s="37">
        <f>IF(AQ340="5",BJ340,0)</f>
        <v>0</v>
      </c>
      <c r="AB340" s="37">
        <f>IF(AQ340="1",BH340,0)</f>
        <v>0</v>
      </c>
      <c r="AC340" s="37">
        <f>IF(AQ340="1",BI340,0)</f>
        <v>0</v>
      </c>
      <c r="AD340" s="37">
        <f>IF(AQ340="7",BH340,0)</f>
        <v>0</v>
      </c>
      <c r="AE340" s="37">
        <f>IF(AQ340="7",BI340,0)</f>
        <v>0</v>
      </c>
      <c r="AF340" s="37">
        <f>IF(AQ340="2",BH340,0)</f>
        <v>0</v>
      </c>
      <c r="AG340" s="37">
        <f>IF(AQ340="2",BI340,0)</f>
        <v>0</v>
      </c>
      <c r="AH340" s="37">
        <f>IF(AQ340="0",BJ340,0)</f>
        <v>0</v>
      </c>
      <c r="AI340" s="49" t="s">
        <v>89</v>
      </c>
      <c r="AJ340" s="37">
        <f>IF(AN340=0,J340,0)</f>
        <v>0</v>
      </c>
      <c r="AK340" s="37">
        <f>IF(AN340=12,J340,0)</f>
        <v>0</v>
      </c>
      <c r="AL340" s="37">
        <f>IF(AN340=21,J340,0)</f>
        <v>0</v>
      </c>
      <c r="AN340" s="37">
        <v>21</v>
      </c>
      <c r="AO340" s="37">
        <f>G340*1</f>
        <v>0</v>
      </c>
      <c r="AP340" s="37">
        <f>G340*(1-1)</f>
        <v>0</v>
      </c>
      <c r="AQ340" s="72" t="s">
        <v>219</v>
      </c>
      <c r="AV340" s="37">
        <f>AW340+AX340</f>
        <v>0</v>
      </c>
      <c r="AW340" s="37">
        <f>F340*AO340</f>
        <v>0</v>
      </c>
      <c r="AX340" s="37">
        <f>F340*AP340</f>
        <v>0</v>
      </c>
      <c r="AY340" s="72" t="s">
        <v>1113</v>
      </c>
      <c r="AZ340" s="72" t="s">
        <v>1109</v>
      </c>
      <c r="BA340" s="49" t="s">
        <v>226</v>
      </c>
      <c r="BC340" s="37">
        <f>AW340+AX340</f>
        <v>0</v>
      </c>
      <c r="BD340" s="37">
        <f>G340/(100-BE340)*100</f>
        <v>0</v>
      </c>
      <c r="BE340" s="37">
        <v>0</v>
      </c>
      <c r="BF340" s="37">
        <f>340</f>
        <v>340</v>
      </c>
      <c r="BH340" s="37">
        <f>F340*AO340</f>
        <v>0</v>
      </c>
      <c r="BI340" s="37">
        <f>F340*AP340</f>
        <v>0</v>
      </c>
      <c r="BJ340" s="37">
        <f>F340*G340</f>
        <v>0</v>
      </c>
      <c r="BK340" s="37"/>
      <c r="BL340" s="37">
        <v>87</v>
      </c>
      <c r="BW340" s="37">
        <v>21</v>
      </c>
      <c r="BX340" s="3" t="s">
        <v>1119</v>
      </c>
    </row>
    <row r="341" spans="1:76" x14ac:dyDescent="0.25">
      <c r="A341" s="1" t="s">
        <v>1120</v>
      </c>
      <c r="B341" s="2" t="s">
        <v>1121</v>
      </c>
      <c r="C341" s="279" t="s">
        <v>1122</v>
      </c>
      <c r="D341" s="280"/>
      <c r="E341" s="2" t="s">
        <v>329</v>
      </c>
      <c r="F341" s="37">
        <v>1</v>
      </c>
      <c r="G341" s="78">
        <v>0</v>
      </c>
      <c r="H341" s="37">
        <f>F341*AO341</f>
        <v>0</v>
      </c>
      <c r="I341" s="37">
        <f>F341*AP341</f>
        <v>0</v>
      </c>
      <c r="J341" s="37">
        <f>F341*G341</f>
        <v>0</v>
      </c>
      <c r="K341" s="79" t="s">
        <v>223</v>
      </c>
      <c r="Z341" s="37">
        <f>IF(AQ341="5",BJ341,0)</f>
        <v>0</v>
      </c>
      <c r="AB341" s="37">
        <f>IF(AQ341="1",BH341,0)</f>
        <v>0</v>
      </c>
      <c r="AC341" s="37">
        <f>IF(AQ341="1",BI341,0)</f>
        <v>0</v>
      </c>
      <c r="AD341" s="37">
        <f>IF(AQ341="7",BH341,0)</f>
        <v>0</v>
      </c>
      <c r="AE341" s="37">
        <f>IF(AQ341="7",BI341,0)</f>
        <v>0</v>
      </c>
      <c r="AF341" s="37">
        <f>IF(AQ341="2",BH341,0)</f>
        <v>0</v>
      </c>
      <c r="AG341" s="37">
        <f>IF(AQ341="2",BI341,0)</f>
        <v>0</v>
      </c>
      <c r="AH341" s="37">
        <f>IF(AQ341="0",BJ341,0)</f>
        <v>0</v>
      </c>
      <c r="AI341" s="49" t="s">
        <v>89</v>
      </c>
      <c r="AJ341" s="37">
        <f>IF(AN341=0,J341,0)</f>
        <v>0</v>
      </c>
      <c r="AK341" s="37">
        <f>IF(AN341=12,J341,0)</f>
        <v>0</v>
      </c>
      <c r="AL341" s="37">
        <f>IF(AN341=21,J341,0)</f>
        <v>0</v>
      </c>
      <c r="AN341" s="37">
        <v>21</v>
      </c>
      <c r="AO341" s="37">
        <f>G341*0.006034982</f>
        <v>0</v>
      </c>
      <c r="AP341" s="37">
        <f>G341*(1-0.006034982)</f>
        <v>0</v>
      </c>
      <c r="AQ341" s="72" t="s">
        <v>219</v>
      </c>
      <c r="AV341" s="37">
        <f>AW341+AX341</f>
        <v>0</v>
      </c>
      <c r="AW341" s="37">
        <f>F341*AO341</f>
        <v>0</v>
      </c>
      <c r="AX341" s="37">
        <f>F341*AP341</f>
        <v>0</v>
      </c>
      <c r="AY341" s="72" t="s">
        <v>1113</v>
      </c>
      <c r="AZ341" s="72" t="s">
        <v>1109</v>
      </c>
      <c r="BA341" s="49" t="s">
        <v>226</v>
      </c>
      <c r="BC341" s="37">
        <f>AW341+AX341</f>
        <v>0</v>
      </c>
      <c r="BD341" s="37">
        <f>G341/(100-BE341)*100</f>
        <v>0</v>
      </c>
      <c r="BE341" s="37">
        <v>0</v>
      </c>
      <c r="BF341" s="37">
        <f>341</f>
        <v>341</v>
      </c>
      <c r="BH341" s="37">
        <f>F341*AO341</f>
        <v>0</v>
      </c>
      <c r="BI341" s="37">
        <f>F341*AP341</f>
        <v>0</v>
      </c>
      <c r="BJ341" s="37">
        <f>F341*G341</f>
        <v>0</v>
      </c>
      <c r="BK341" s="37"/>
      <c r="BL341" s="37">
        <v>87</v>
      </c>
      <c r="BW341" s="37">
        <v>21</v>
      </c>
      <c r="BX341" s="3" t="s">
        <v>1122</v>
      </c>
    </row>
    <row r="342" spans="1:76" x14ac:dyDescent="0.25">
      <c r="A342" s="80" t="s">
        <v>4</v>
      </c>
      <c r="B342" s="81" t="s">
        <v>169</v>
      </c>
      <c r="C342" s="365" t="s">
        <v>170</v>
      </c>
      <c r="D342" s="366"/>
      <c r="E342" s="82" t="s">
        <v>81</v>
      </c>
      <c r="F342" s="82" t="s">
        <v>81</v>
      </c>
      <c r="G342" s="83" t="s">
        <v>81</v>
      </c>
      <c r="H342" s="43">
        <f>SUM(H343:H347)</f>
        <v>0</v>
      </c>
      <c r="I342" s="43">
        <f>SUM(I343:I347)</f>
        <v>0</v>
      </c>
      <c r="J342" s="43">
        <f>SUM(J343:J347)</f>
        <v>0</v>
      </c>
      <c r="K342" s="84" t="s">
        <v>4</v>
      </c>
      <c r="AI342" s="49" t="s">
        <v>89</v>
      </c>
      <c r="AS342" s="43">
        <f>SUM(AJ343:AJ347)</f>
        <v>0</v>
      </c>
      <c r="AT342" s="43">
        <f>SUM(AK343:AK347)</f>
        <v>0</v>
      </c>
      <c r="AU342" s="43">
        <f>SUM(AL343:AL347)</f>
        <v>0</v>
      </c>
    </row>
    <row r="343" spans="1:76" x14ac:dyDescent="0.25">
      <c r="A343" s="1" t="s">
        <v>1123</v>
      </c>
      <c r="B343" s="2" t="s">
        <v>1124</v>
      </c>
      <c r="C343" s="279" t="s">
        <v>1125</v>
      </c>
      <c r="D343" s="280"/>
      <c r="E343" s="2" t="s">
        <v>329</v>
      </c>
      <c r="F343" s="37">
        <v>4</v>
      </c>
      <c r="G343" s="78">
        <v>0</v>
      </c>
      <c r="H343" s="37">
        <f>F343*AO343</f>
        <v>0</v>
      </c>
      <c r="I343" s="37">
        <f>F343*AP343</f>
        <v>0</v>
      </c>
      <c r="J343" s="37">
        <f>F343*G343</f>
        <v>0</v>
      </c>
      <c r="K343" s="79" t="s">
        <v>223</v>
      </c>
      <c r="Z343" s="37">
        <f>IF(AQ343="5",BJ343,0)</f>
        <v>0</v>
      </c>
      <c r="AB343" s="37">
        <f>IF(AQ343="1",BH343,0)</f>
        <v>0</v>
      </c>
      <c r="AC343" s="37">
        <f>IF(AQ343="1",BI343,0)</f>
        <v>0</v>
      </c>
      <c r="AD343" s="37">
        <f>IF(AQ343="7",BH343,0)</f>
        <v>0</v>
      </c>
      <c r="AE343" s="37">
        <f>IF(AQ343="7",BI343,0)</f>
        <v>0</v>
      </c>
      <c r="AF343" s="37">
        <f>IF(AQ343="2",BH343,0)</f>
        <v>0</v>
      </c>
      <c r="AG343" s="37">
        <f>IF(AQ343="2",BI343,0)</f>
        <v>0</v>
      </c>
      <c r="AH343" s="37">
        <f>IF(AQ343="0",BJ343,0)</f>
        <v>0</v>
      </c>
      <c r="AI343" s="49" t="s">
        <v>89</v>
      </c>
      <c r="AJ343" s="37">
        <f>IF(AN343=0,J343,0)</f>
        <v>0</v>
      </c>
      <c r="AK343" s="37">
        <f>IF(AN343=12,J343,0)</f>
        <v>0</v>
      </c>
      <c r="AL343" s="37">
        <f>IF(AN343=21,J343,0)</f>
        <v>0</v>
      </c>
      <c r="AN343" s="37">
        <v>21</v>
      </c>
      <c r="AO343" s="37">
        <f>G343*0</f>
        <v>0</v>
      </c>
      <c r="AP343" s="37">
        <f>G343*(1-0)</f>
        <v>0</v>
      </c>
      <c r="AQ343" s="72" t="s">
        <v>219</v>
      </c>
      <c r="AV343" s="37">
        <f>AW343+AX343</f>
        <v>0</v>
      </c>
      <c r="AW343" s="37">
        <f>F343*AO343</f>
        <v>0</v>
      </c>
      <c r="AX343" s="37">
        <f>F343*AP343</f>
        <v>0</v>
      </c>
      <c r="AY343" s="72" t="s">
        <v>1126</v>
      </c>
      <c r="AZ343" s="72" t="s">
        <v>1109</v>
      </c>
      <c r="BA343" s="49" t="s">
        <v>226</v>
      </c>
      <c r="BC343" s="37">
        <f>AW343+AX343</f>
        <v>0</v>
      </c>
      <c r="BD343" s="37">
        <f>G343/(100-BE343)*100</f>
        <v>0</v>
      </c>
      <c r="BE343" s="37">
        <v>0</v>
      </c>
      <c r="BF343" s="37">
        <f>343</f>
        <v>343</v>
      </c>
      <c r="BH343" s="37">
        <f>F343*AO343</f>
        <v>0</v>
      </c>
      <c r="BI343" s="37">
        <f>F343*AP343</f>
        <v>0</v>
      </c>
      <c r="BJ343" s="37">
        <f>F343*G343</f>
        <v>0</v>
      </c>
      <c r="BK343" s="37"/>
      <c r="BL343" s="37">
        <v>89</v>
      </c>
      <c r="BW343" s="37">
        <v>21</v>
      </c>
      <c r="BX343" s="3" t="s">
        <v>1125</v>
      </c>
    </row>
    <row r="344" spans="1:76" x14ac:dyDescent="0.25">
      <c r="A344" s="1" t="s">
        <v>1127</v>
      </c>
      <c r="B344" s="2" t="s">
        <v>1128</v>
      </c>
      <c r="C344" s="279" t="s">
        <v>1129</v>
      </c>
      <c r="D344" s="280"/>
      <c r="E344" s="2" t="s">
        <v>329</v>
      </c>
      <c r="F344" s="37">
        <v>2</v>
      </c>
      <c r="G344" s="78">
        <v>0</v>
      </c>
      <c r="H344" s="37">
        <f>F344*AO344</f>
        <v>0</v>
      </c>
      <c r="I344" s="37">
        <f>F344*AP344</f>
        <v>0</v>
      </c>
      <c r="J344" s="37">
        <f>F344*G344</f>
        <v>0</v>
      </c>
      <c r="K344" s="79" t="s">
        <v>223</v>
      </c>
      <c r="Z344" s="37">
        <f>IF(AQ344="5",BJ344,0)</f>
        <v>0</v>
      </c>
      <c r="AB344" s="37">
        <f>IF(AQ344="1",BH344,0)</f>
        <v>0</v>
      </c>
      <c r="AC344" s="37">
        <f>IF(AQ344="1",BI344,0)</f>
        <v>0</v>
      </c>
      <c r="AD344" s="37">
        <f>IF(AQ344="7",BH344,0)</f>
        <v>0</v>
      </c>
      <c r="AE344" s="37">
        <f>IF(AQ344="7",BI344,0)</f>
        <v>0</v>
      </c>
      <c r="AF344" s="37">
        <f>IF(AQ344="2",BH344,0)</f>
        <v>0</v>
      </c>
      <c r="AG344" s="37">
        <f>IF(AQ344="2",BI344,0)</f>
        <v>0</v>
      </c>
      <c r="AH344" s="37">
        <f>IF(AQ344="0",BJ344,0)</f>
        <v>0</v>
      </c>
      <c r="AI344" s="49" t="s">
        <v>89</v>
      </c>
      <c r="AJ344" s="37">
        <f>IF(AN344=0,J344,0)</f>
        <v>0</v>
      </c>
      <c r="AK344" s="37">
        <f>IF(AN344=12,J344,0)</f>
        <v>0</v>
      </c>
      <c r="AL344" s="37">
        <f>IF(AN344=21,J344,0)</f>
        <v>0</v>
      </c>
      <c r="AN344" s="37">
        <v>21</v>
      </c>
      <c r="AO344" s="37">
        <f>G344*1</f>
        <v>0</v>
      </c>
      <c r="AP344" s="37">
        <f>G344*(1-1)</f>
        <v>0</v>
      </c>
      <c r="AQ344" s="72" t="s">
        <v>219</v>
      </c>
      <c r="AV344" s="37">
        <f>AW344+AX344</f>
        <v>0</v>
      </c>
      <c r="AW344" s="37">
        <f>F344*AO344</f>
        <v>0</v>
      </c>
      <c r="AX344" s="37">
        <f>F344*AP344</f>
        <v>0</v>
      </c>
      <c r="AY344" s="72" t="s">
        <v>1126</v>
      </c>
      <c r="AZ344" s="72" t="s">
        <v>1109</v>
      </c>
      <c r="BA344" s="49" t="s">
        <v>226</v>
      </c>
      <c r="BC344" s="37">
        <f>AW344+AX344</f>
        <v>0</v>
      </c>
      <c r="BD344" s="37">
        <f>G344/(100-BE344)*100</f>
        <v>0</v>
      </c>
      <c r="BE344" s="37">
        <v>0</v>
      </c>
      <c r="BF344" s="37">
        <f>344</f>
        <v>344</v>
      </c>
      <c r="BH344" s="37">
        <f>F344*AO344</f>
        <v>0</v>
      </c>
      <c r="BI344" s="37">
        <f>F344*AP344</f>
        <v>0</v>
      </c>
      <c r="BJ344" s="37">
        <f>F344*G344</f>
        <v>0</v>
      </c>
      <c r="BK344" s="37"/>
      <c r="BL344" s="37">
        <v>89</v>
      </c>
      <c r="BW344" s="37">
        <v>21</v>
      </c>
      <c r="BX344" s="3" t="s">
        <v>1129</v>
      </c>
    </row>
    <row r="345" spans="1:76" x14ac:dyDescent="0.25">
      <c r="A345" s="1" t="s">
        <v>1130</v>
      </c>
      <c r="B345" s="2" t="s">
        <v>1131</v>
      </c>
      <c r="C345" s="279" t="s">
        <v>1132</v>
      </c>
      <c r="D345" s="280"/>
      <c r="E345" s="2" t="s">
        <v>329</v>
      </c>
      <c r="F345" s="37">
        <v>1</v>
      </c>
      <c r="G345" s="78">
        <v>0</v>
      </c>
      <c r="H345" s="37">
        <f>F345*AO345</f>
        <v>0</v>
      </c>
      <c r="I345" s="37">
        <f>F345*AP345</f>
        <v>0</v>
      </c>
      <c r="J345" s="37">
        <f>F345*G345</f>
        <v>0</v>
      </c>
      <c r="K345" s="79" t="s">
        <v>223</v>
      </c>
      <c r="Z345" s="37">
        <f>IF(AQ345="5",BJ345,0)</f>
        <v>0</v>
      </c>
      <c r="AB345" s="37">
        <f>IF(AQ345="1",BH345,0)</f>
        <v>0</v>
      </c>
      <c r="AC345" s="37">
        <f>IF(AQ345="1",BI345,0)</f>
        <v>0</v>
      </c>
      <c r="AD345" s="37">
        <f>IF(AQ345="7",BH345,0)</f>
        <v>0</v>
      </c>
      <c r="AE345" s="37">
        <f>IF(AQ345="7",BI345,0)</f>
        <v>0</v>
      </c>
      <c r="AF345" s="37">
        <f>IF(AQ345="2",BH345,0)</f>
        <v>0</v>
      </c>
      <c r="AG345" s="37">
        <f>IF(AQ345="2",BI345,0)</f>
        <v>0</v>
      </c>
      <c r="AH345" s="37">
        <f>IF(AQ345="0",BJ345,0)</f>
        <v>0</v>
      </c>
      <c r="AI345" s="49" t="s">
        <v>89</v>
      </c>
      <c r="AJ345" s="37">
        <f>IF(AN345=0,J345,0)</f>
        <v>0</v>
      </c>
      <c r="AK345" s="37">
        <f>IF(AN345=12,J345,0)</f>
        <v>0</v>
      </c>
      <c r="AL345" s="37">
        <f>IF(AN345=21,J345,0)</f>
        <v>0</v>
      </c>
      <c r="AN345" s="37">
        <v>21</v>
      </c>
      <c r="AO345" s="37">
        <f>G345*1</f>
        <v>0</v>
      </c>
      <c r="AP345" s="37">
        <f>G345*(1-1)</f>
        <v>0</v>
      </c>
      <c r="AQ345" s="72" t="s">
        <v>219</v>
      </c>
      <c r="AV345" s="37">
        <f>AW345+AX345</f>
        <v>0</v>
      </c>
      <c r="AW345" s="37">
        <f>F345*AO345</f>
        <v>0</v>
      </c>
      <c r="AX345" s="37">
        <f>F345*AP345</f>
        <v>0</v>
      </c>
      <c r="AY345" s="72" t="s">
        <v>1126</v>
      </c>
      <c r="AZ345" s="72" t="s">
        <v>1109</v>
      </c>
      <c r="BA345" s="49" t="s">
        <v>226</v>
      </c>
      <c r="BC345" s="37">
        <f>AW345+AX345</f>
        <v>0</v>
      </c>
      <c r="BD345" s="37">
        <f>G345/(100-BE345)*100</f>
        <v>0</v>
      </c>
      <c r="BE345" s="37">
        <v>0</v>
      </c>
      <c r="BF345" s="37">
        <f>345</f>
        <v>345</v>
      </c>
      <c r="BH345" s="37">
        <f>F345*AO345</f>
        <v>0</v>
      </c>
      <c r="BI345" s="37">
        <f>F345*AP345</f>
        <v>0</v>
      </c>
      <c r="BJ345" s="37">
        <f>F345*G345</f>
        <v>0</v>
      </c>
      <c r="BK345" s="37"/>
      <c r="BL345" s="37">
        <v>89</v>
      </c>
      <c r="BW345" s="37">
        <v>21</v>
      </c>
      <c r="BX345" s="3" t="s">
        <v>1132</v>
      </c>
    </row>
    <row r="346" spans="1:76" x14ac:dyDescent="0.25">
      <c r="A346" s="1" t="s">
        <v>1133</v>
      </c>
      <c r="B346" s="2" t="s">
        <v>1134</v>
      </c>
      <c r="C346" s="279" t="s">
        <v>1135</v>
      </c>
      <c r="D346" s="280"/>
      <c r="E346" s="2" t="s">
        <v>329</v>
      </c>
      <c r="F346" s="37">
        <v>1</v>
      </c>
      <c r="G346" s="78">
        <v>0</v>
      </c>
      <c r="H346" s="37">
        <f>F346*AO346</f>
        <v>0</v>
      </c>
      <c r="I346" s="37">
        <f>F346*AP346</f>
        <v>0</v>
      </c>
      <c r="J346" s="37">
        <f>F346*G346</f>
        <v>0</v>
      </c>
      <c r="K346" s="79" t="s">
        <v>223</v>
      </c>
      <c r="Z346" s="37">
        <f>IF(AQ346="5",BJ346,0)</f>
        <v>0</v>
      </c>
      <c r="AB346" s="37">
        <f>IF(AQ346="1",BH346,0)</f>
        <v>0</v>
      </c>
      <c r="AC346" s="37">
        <f>IF(AQ346="1",BI346,0)</f>
        <v>0</v>
      </c>
      <c r="AD346" s="37">
        <f>IF(AQ346="7",BH346,0)</f>
        <v>0</v>
      </c>
      <c r="AE346" s="37">
        <f>IF(AQ346="7",BI346,0)</f>
        <v>0</v>
      </c>
      <c r="AF346" s="37">
        <f>IF(AQ346="2",BH346,0)</f>
        <v>0</v>
      </c>
      <c r="AG346" s="37">
        <f>IF(AQ346="2",BI346,0)</f>
        <v>0</v>
      </c>
      <c r="AH346" s="37">
        <f>IF(AQ346="0",BJ346,0)</f>
        <v>0</v>
      </c>
      <c r="AI346" s="49" t="s">
        <v>89</v>
      </c>
      <c r="AJ346" s="37">
        <f>IF(AN346=0,J346,0)</f>
        <v>0</v>
      </c>
      <c r="AK346" s="37">
        <f>IF(AN346=12,J346,0)</f>
        <v>0</v>
      </c>
      <c r="AL346" s="37">
        <f>IF(AN346=21,J346,0)</f>
        <v>0</v>
      </c>
      <c r="AN346" s="37">
        <v>21</v>
      </c>
      <c r="AO346" s="37">
        <f>G346*1</f>
        <v>0</v>
      </c>
      <c r="AP346" s="37">
        <f>G346*(1-1)</f>
        <v>0</v>
      </c>
      <c r="AQ346" s="72" t="s">
        <v>219</v>
      </c>
      <c r="AV346" s="37">
        <f>AW346+AX346</f>
        <v>0</v>
      </c>
      <c r="AW346" s="37">
        <f>F346*AO346</f>
        <v>0</v>
      </c>
      <c r="AX346" s="37">
        <f>F346*AP346</f>
        <v>0</v>
      </c>
      <c r="AY346" s="72" t="s">
        <v>1126</v>
      </c>
      <c r="AZ346" s="72" t="s">
        <v>1109</v>
      </c>
      <c r="BA346" s="49" t="s">
        <v>226</v>
      </c>
      <c r="BC346" s="37">
        <f>AW346+AX346</f>
        <v>0</v>
      </c>
      <c r="BD346" s="37">
        <f>G346/(100-BE346)*100</f>
        <v>0</v>
      </c>
      <c r="BE346" s="37">
        <v>0</v>
      </c>
      <c r="BF346" s="37">
        <f>346</f>
        <v>346</v>
      </c>
      <c r="BH346" s="37">
        <f>F346*AO346</f>
        <v>0</v>
      </c>
      <c r="BI346" s="37">
        <f>F346*AP346</f>
        <v>0</v>
      </c>
      <c r="BJ346" s="37">
        <f>F346*G346</f>
        <v>0</v>
      </c>
      <c r="BK346" s="37"/>
      <c r="BL346" s="37">
        <v>89</v>
      </c>
      <c r="BW346" s="37">
        <v>21</v>
      </c>
      <c r="BX346" s="3" t="s">
        <v>1135</v>
      </c>
    </row>
    <row r="347" spans="1:76" x14ac:dyDescent="0.25">
      <c r="A347" s="1" t="s">
        <v>1136</v>
      </c>
      <c r="B347" s="2" t="s">
        <v>1137</v>
      </c>
      <c r="C347" s="279" t="s">
        <v>1138</v>
      </c>
      <c r="D347" s="280"/>
      <c r="E347" s="2" t="s">
        <v>329</v>
      </c>
      <c r="F347" s="37">
        <v>1</v>
      </c>
      <c r="G347" s="78">
        <v>0</v>
      </c>
      <c r="H347" s="37">
        <f>F347*AO347</f>
        <v>0</v>
      </c>
      <c r="I347" s="37">
        <f>F347*AP347</f>
        <v>0</v>
      </c>
      <c r="J347" s="37">
        <f>F347*G347</f>
        <v>0</v>
      </c>
      <c r="K347" s="79" t="s">
        <v>223</v>
      </c>
      <c r="Z347" s="37">
        <f>IF(AQ347="5",BJ347,0)</f>
        <v>0</v>
      </c>
      <c r="AB347" s="37">
        <f>IF(AQ347="1",BH347,0)</f>
        <v>0</v>
      </c>
      <c r="AC347" s="37">
        <f>IF(AQ347="1",BI347,0)</f>
        <v>0</v>
      </c>
      <c r="AD347" s="37">
        <f>IF(AQ347="7",BH347,0)</f>
        <v>0</v>
      </c>
      <c r="AE347" s="37">
        <f>IF(AQ347="7",BI347,0)</f>
        <v>0</v>
      </c>
      <c r="AF347" s="37">
        <f>IF(AQ347="2",BH347,0)</f>
        <v>0</v>
      </c>
      <c r="AG347" s="37">
        <f>IF(AQ347="2",BI347,0)</f>
        <v>0</v>
      </c>
      <c r="AH347" s="37">
        <f>IF(AQ347="0",BJ347,0)</f>
        <v>0</v>
      </c>
      <c r="AI347" s="49" t="s">
        <v>89</v>
      </c>
      <c r="AJ347" s="37">
        <f>IF(AN347=0,J347,0)</f>
        <v>0</v>
      </c>
      <c r="AK347" s="37">
        <f>IF(AN347=12,J347,0)</f>
        <v>0</v>
      </c>
      <c r="AL347" s="37">
        <f>IF(AN347=21,J347,0)</f>
        <v>0</v>
      </c>
      <c r="AN347" s="37">
        <v>21</v>
      </c>
      <c r="AO347" s="37">
        <f>G347*1</f>
        <v>0</v>
      </c>
      <c r="AP347" s="37">
        <f>G347*(1-1)</f>
        <v>0</v>
      </c>
      <c r="AQ347" s="72" t="s">
        <v>219</v>
      </c>
      <c r="AV347" s="37">
        <f>AW347+AX347</f>
        <v>0</v>
      </c>
      <c r="AW347" s="37">
        <f>F347*AO347</f>
        <v>0</v>
      </c>
      <c r="AX347" s="37">
        <f>F347*AP347</f>
        <v>0</v>
      </c>
      <c r="AY347" s="72" t="s">
        <v>1126</v>
      </c>
      <c r="AZ347" s="72" t="s">
        <v>1109</v>
      </c>
      <c r="BA347" s="49" t="s">
        <v>226</v>
      </c>
      <c r="BC347" s="37">
        <f>AW347+AX347</f>
        <v>0</v>
      </c>
      <c r="BD347" s="37">
        <f>G347/(100-BE347)*100</f>
        <v>0</v>
      </c>
      <c r="BE347" s="37">
        <v>0</v>
      </c>
      <c r="BF347" s="37">
        <f>347</f>
        <v>347</v>
      </c>
      <c r="BH347" s="37">
        <f>F347*AO347</f>
        <v>0</v>
      </c>
      <c r="BI347" s="37">
        <f>F347*AP347</f>
        <v>0</v>
      </c>
      <c r="BJ347" s="37">
        <f>F347*G347</f>
        <v>0</v>
      </c>
      <c r="BK347" s="37"/>
      <c r="BL347" s="37">
        <v>89</v>
      </c>
      <c r="BW347" s="37">
        <v>21</v>
      </c>
      <c r="BX347" s="3" t="s">
        <v>1138</v>
      </c>
    </row>
    <row r="348" spans="1:76" x14ac:dyDescent="0.25">
      <c r="A348" s="80" t="s">
        <v>4</v>
      </c>
      <c r="B348" s="81" t="s">
        <v>171</v>
      </c>
      <c r="C348" s="365" t="s">
        <v>172</v>
      </c>
      <c r="D348" s="366"/>
      <c r="E348" s="82" t="s">
        <v>81</v>
      </c>
      <c r="F348" s="82" t="s">
        <v>81</v>
      </c>
      <c r="G348" s="83" t="s">
        <v>81</v>
      </c>
      <c r="H348" s="43">
        <f>SUM(H349:H352)</f>
        <v>0</v>
      </c>
      <c r="I348" s="43">
        <f>SUM(I349:I352)</f>
        <v>0</v>
      </c>
      <c r="J348" s="43">
        <f>SUM(J349:J352)</f>
        <v>0</v>
      </c>
      <c r="K348" s="84" t="s">
        <v>4</v>
      </c>
      <c r="AI348" s="49" t="s">
        <v>89</v>
      </c>
      <c r="AS348" s="43">
        <f>SUM(AJ349:AJ352)</f>
        <v>0</v>
      </c>
      <c r="AT348" s="43">
        <f>SUM(AK349:AK352)</f>
        <v>0</v>
      </c>
      <c r="AU348" s="43">
        <f>SUM(AL349:AL352)</f>
        <v>0</v>
      </c>
    </row>
    <row r="349" spans="1:76" x14ac:dyDescent="0.25">
      <c r="A349" s="1" t="s">
        <v>1139</v>
      </c>
      <c r="B349" s="2" t="s">
        <v>1140</v>
      </c>
      <c r="C349" s="279" t="s">
        <v>1141</v>
      </c>
      <c r="D349" s="280"/>
      <c r="E349" s="2" t="s">
        <v>333</v>
      </c>
      <c r="F349" s="37">
        <v>12.6</v>
      </c>
      <c r="G349" s="78">
        <v>0</v>
      </c>
      <c r="H349" s="37">
        <f>F349*AO349</f>
        <v>0</v>
      </c>
      <c r="I349" s="37">
        <f>F349*AP349</f>
        <v>0</v>
      </c>
      <c r="J349" s="37">
        <f>F349*G349</f>
        <v>0</v>
      </c>
      <c r="K349" s="79" t="s">
        <v>334</v>
      </c>
      <c r="Z349" s="37">
        <f>IF(AQ349="5",BJ349,0)</f>
        <v>0</v>
      </c>
      <c r="AB349" s="37">
        <f>IF(AQ349="1",BH349,0)</f>
        <v>0</v>
      </c>
      <c r="AC349" s="37">
        <f>IF(AQ349="1",BI349,0)</f>
        <v>0</v>
      </c>
      <c r="AD349" s="37">
        <f>IF(AQ349="7",BH349,0)</f>
        <v>0</v>
      </c>
      <c r="AE349" s="37">
        <f>IF(AQ349="7",BI349,0)</f>
        <v>0</v>
      </c>
      <c r="AF349" s="37">
        <f>IF(AQ349="2",BH349,0)</f>
        <v>0</v>
      </c>
      <c r="AG349" s="37">
        <f>IF(AQ349="2",BI349,0)</f>
        <v>0</v>
      </c>
      <c r="AH349" s="37">
        <f>IF(AQ349="0",BJ349,0)</f>
        <v>0</v>
      </c>
      <c r="AI349" s="49" t="s">
        <v>89</v>
      </c>
      <c r="AJ349" s="37">
        <f>IF(AN349=0,J349,0)</f>
        <v>0</v>
      </c>
      <c r="AK349" s="37">
        <f>IF(AN349=12,J349,0)</f>
        <v>0</v>
      </c>
      <c r="AL349" s="37">
        <f>IF(AN349=21,J349,0)</f>
        <v>0</v>
      </c>
      <c r="AN349" s="37">
        <v>21</v>
      </c>
      <c r="AO349" s="37">
        <f>G349*0.854860884</f>
        <v>0</v>
      </c>
      <c r="AP349" s="37">
        <f>G349*(1-0.854860884)</f>
        <v>0</v>
      </c>
      <c r="AQ349" s="72" t="s">
        <v>219</v>
      </c>
      <c r="AV349" s="37">
        <f>AW349+AX349</f>
        <v>0</v>
      </c>
      <c r="AW349" s="37">
        <f>F349*AO349</f>
        <v>0</v>
      </c>
      <c r="AX349" s="37">
        <f>F349*AP349</f>
        <v>0</v>
      </c>
      <c r="AY349" s="72" t="s">
        <v>1142</v>
      </c>
      <c r="AZ349" s="72" t="s">
        <v>1143</v>
      </c>
      <c r="BA349" s="49" t="s">
        <v>226</v>
      </c>
      <c r="BC349" s="37">
        <f>AW349+AX349</f>
        <v>0</v>
      </c>
      <c r="BD349" s="37">
        <f>G349/(100-BE349)*100</f>
        <v>0</v>
      </c>
      <c r="BE349" s="37">
        <v>0</v>
      </c>
      <c r="BF349" s="37">
        <f>349</f>
        <v>349</v>
      </c>
      <c r="BH349" s="37">
        <f>F349*AO349</f>
        <v>0</v>
      </c>
      <c r="BI349" s="37">
        <f>F349*AP349</f>
        <v>0</v>
      </c>
      <c r="BJ349" s="37">
        <f>F349*G349</f>
        <v>0</v>
      </c>
      <c r="BK349" s="37"/>
      <c r="BL349" s="37">
        <v>91</v>
      </c>
      <c r="BW349" s="37">
        <v>21</v>
      </c>
      <c r="BX349" s="3" t="s">
        <v>1141</v>
      </c>
    </row>
    <row r="350" spans="1:76" ht="25.5" x14ac:dyDescent="0.25">
      <c r="A350" s="1" t="s">
        <v>1144</v>
      </c>
      <c r="B350" s="2" t="s">
        <v>1145</v>
      </c>
      <c r="C350" s="279" t="s">
        <v>1146</v>
      </c>
      <c r="D350" s="280"/>
      <c r="E350" s="2" t="s">
        <v>333</v>
      </c>
      <c r="F350" s="37">
        <v>22.85</v>
      </c>
      <c r="G350" s="78">
        <v>0</v>
      </c>
      <c r="H350" s="37">
        <f>F350*AO350</f>
        <v>0</v>
      </c>
      <c r="I350" s="37">
        <f>F350*AP350</f>
        <v>0</v>
      </c>
      <c r="J350" s="37">
        <f>F350*G350</f>
        <v>0</v>
      </c>
      <c r="K350" s="79" t="s">
        <v>223</v>
      </c>
      <c r="Z350" s="37">
        <f>IF(AQ350="5",BJ350,0)</f>
        <v>0</v>
      </c>
      <c r="AB350" s="37">
        <f>IF(AQ350="1",BH350,0)</f>
        <v>0</v>
      </c>
      <c r="AC350" s="37">
        <f>IF(AQ350="1",BI350,0)</f>
        <v>0</v>
      </c>
      <c r="AD350" s="37">
        <f>IF(AQ350="7",BH350,0)</f>
        <v>0</v>
      </c>
      <c r="AE350" s="37">
        <f>IF(AQ350="7",BI350,0)</f>
        <v>0</v>
      </c>
      <c r="AF350" s="37">
        <f>IF(AQ350="2",BH350,0)</f>
        <v>0</v>
      </c>
      <c r="AG350" s="37">
        <f>IF(AQ350="2",BI350,0)</f>
        <v>0</v>
      </c>
      <c r="AH350" s="37">
        <f>IF(AQ350="0",BJ350,0)</f>
        <v>0</v>
      </c>
      <c r="AI350" s="49" t="s">
        <v>89</v>
      </c>
      <c r="AJ350" s="37">
        <f>IF(AN350=0,J350,0)</f>
        <v>0</v>
      </c>
      <c r="AK350" s="37">
        <f>IF(AN350=12,J350,0)</f>
        <v>0</v>
      </c>
      <c r="AL350" s="37">
        <f>IF(AN350=21,J350,0)</f>
        <v>0</v>
      </c>
      <c r="AN350" s="37">
        <v>21</v>
      </c>
      <c r="AO350" s="37">
        <f>G350*0.735215517</f>
        <v>0</v>
      </c>
      <c r="AP350" s="37">
        <f>G350*(1-0.735215517)</f>
        <v>0</v>
      </c>
      <c r="AQ350" s="72" t="s">
        <v>219</v>
      </c>
      <c r="AV350" s="37">
        <f>AW350+AX350</f>
        <v>0</v>
      </c>
      <c r="AW350" s="37">
        <f>F350*AO350</f>
        <v>0</v>
      </c>
      <c r="AX350" s="37">
        <f>F350*AP350</f>
        <v>0</v>
      </c>
      <c r="AY350" s="72" t="s">
        <v>1142</v>
      </c>
      <c r="AZ350" s="72" t="s">
        <v>1143</v>
      </c>
      <c r="BA350" s="49" t="s">
        <v>226</v>
      </c>
      <c r="BC350" s="37">
        <f>AW350+AX350</f>
        <v>0</v>
      </c>
      <c r="BD350" s="37">
        <f>G350/(100-BE350)*100</f>
        <v>0</v>
      </c>
      <c r="BE350" s="37">
        <v>0</v>
      </c>
      <c r="BF350" s="37">
        <f>350</f>
        <v>350</v>
      </c>
      <c r="BH350" s="37">
        <f>F350*AO350</f>
        <v>0</v>
      </c>
      <c r="BI350" s="37">
        <f>F350*AP350</f>
        <v>0</v>
      </c>
      <c r="BJ350" s="37">
        <f>F350*G350</f>
        <v>0</v>
      </c>
      <c r="BK350" s="37"/>
      <c r="BL350" s="37">
        <v>91</v>
      </c>
      <c r="BW350" s="37">
        <v>21</v>
      </c>
      <c r="BX350" s="3" t="s">
        <v>1146</v>
      </c>
    </row>
    <row r="351" spans="1:76" ht="25.5" x14ac:dyDescent="0.25">
      <c r="A351" s="1" t="s">
        <v>1147</v>
      </c>
      <c r="B351" s="2" t="s">
        <v>1148</v>
      </c>
      <c r="C351" s="279" t="s">
        <v>1149</v>
      </c>
      <c r="D351" s="280"/>
      <c r="E351" s="2" t="s">
        <v>333</v>
      </c>
      <c r="F351" s="37">
        <v>26.25</v>
      </c>
      <c r="G351" s="78">
        <v>0</v>
      </c>
      <c r="H351" s="37">
        <f>F351*AO351</f>
        <v>0</v>
      </c>
      <c r="I351" s="37">
        <f>F351*AP351</f>
        <v>0</v>
      </c>
      <c r="J351" s="37">
        <f>F351*G351</f>
        <v>0</v>
      </c>
      <c r="K351" s="79" t="s">
        <v>223</v>
      </c>
      <c r="Z351" s="37">
        <f>IF(AQ351="5",BJ351,0)</f>
        <v>0</v>
      </c>
      <c r="AB351" s="37">
        <f>IF(AQ351="1",BH351,0)</f>
        <v>0</v>
      </c>
      <c r="AC351" s="37">
        <f>IF(AQ351="1",BI351,0)</f>
        <v>0</v>
      </c>
      <c r="AD351" s="37">
        <f>IF(AQ351="7",BH351,0)</f>
        <v>0</v>
      </c>
      <c r="AE351" s="37">
        <f>IF(AQ351="7",BI351,0)</f>
        <v>0</v>
      </c>
      <c r="AF351" s="37">
        <f>IF(AQ351="2",BH351,0)</f>
        <v>0</v>
      </c>
      <c r="AG351" s="37">
        <f>IF(AQ351="2",BI351,0)</f>
        <v>0</v>
      </c>
      <c r="AH351" s="37">
        <f>IF(AQ351="0",BJ351,0)</f>
        <v>0</v>
      </c>
      <c r="AI351" s="49" t="s">
        <v>89</v>
      </c>
      <c r="AJ351" s="37">
        <f>IF(AN351=0,J351,0)</f>
        <v>0</v>
      </c>
      <c r="AK351" s="37">
        <f>IF(AN351=12,J351,0)</f>
        <v>0</v>
      </c>
      <c r="AL351" s="37">
        <f>IF(AN351=21,J351,0)</f>
        <v>0</v>
      </c>
      <c r="AN351" s="37">
        <v>21</v>
      </c>
      <c r="AO351" s="37">
        <f>G351*0.775795796</f>
        <v>0</v>
      </c>
      <c r="AP351" s="37">
        <f>G351*(1-0.775795796)</f>
        <v>0</v>
      </c>
      <c r="AQ351" s="72" t="s">
        <v>219</v>
      </c>
      <c r="AV351" s="37">
        <f>AW351+AX351</f>
        <v>0</v>
      </c>
      <c r="AW351" s="37">
        <f>F351*AO351</f>
        <v>0</v>
      </c>
      <c r="AX351" s="37">
        <f>F351*AP351</f>
        <v>0</v>
      </c>
      <c r="AY351" s="72" t="s">
        <v>1142</v>
      </c>
      <c r="AZ351" s="72" t="s">
        <v>1143</v>
      </c>
      <c r="BA351" s="49" t="s">
        <v>226</v>
      </c>
      <c r="BC351" s="37">
        <f>AW351+AX351</f>
        <v>0</v>
      </c>
      <c r="BD351" s="37">
        <f>G351/(100-BE351)*100</f>
        <v>0</v>
      </c>
      <c r="BE351" s="37">
        <v>0</v>
      </c>
      <c r="BF351" s="37">
        <f>351</f>
        <v>351</v>
      </c>
      <c r="BH351" s="37">
        <f>F351*AO351</f>
        <v>0</v>
      </c>
      <c r="BI351" s="37">
        <f>F351*AP351</f>
        <v>0</v>
      </c>
      <c r="BJ351" s="37">
        <f>F351*G351</f>
        <v>0</v>
      </c>
      <c r="BK351" s="37"/>
      <c r="BL351" s="37">
        <v>91</v>
      </c>
      <c r="BW351" s="37">
        <v>21</v>
      </c>
      <c r="BX351" s="3" t="s">
        <v>1149</v>
      </c>
    </row>
    <row r="352" spans="1:76" x14ac:dyDescent="0.25">
      <c r="A352" s="1" t="s">
        <v>1150</v>
      </c>
      <c r="B352" s="2" t="s">
        <v>1151</v>
      </c>
      <c r="C352" s="279" t="s">
        <v>1152</v>
      </c>
      <c r="D352" s="280"/>
      <c r="E352" s="2" t="s">
        <v>333</v>
      </c>
      <c r="F352" s="37">
        <v>22.85</v>
      </c>
      <c r="G352" s="78">
        <v>0</v>
      </c>
      <c r="H352" s="37">
        <f>F352*AO352</f>
        <v>0</v>
      </c>
      <c r="I352" s="37">
        <f>F352*AP352</f>
        <v>0</v>
      </c>
      <c r="J352" s="37">
        <f>F352*G352</f>
        <v>0</v>
      </c>
      <c r="K352" s="79" t="s">
        <v>223</v>
      </c>
      <c r="Z352" s="37">
        <f>IF(AQ352="5",BJ352,0)</f>
        <v>0</v>
      </c>
      <c r="AB352" s="37">
        <f>IF(AQ352="1",BH352,0)</f>
        <v>0</v>
      </c>
      <c r="AC352" s="37">
        <f>IF(AQ352="1",BI352,0)</f>
        <v>0</v>
      </c>
      <c r="AD352" s="37">
        <f>IF(AQ352="7",BH352,0)</f>
        <v>0</v>
      </c>
      <c r="AE352" s="37">
        <f>IF(AQ352="7",BI352,0)</f>
        <v>0</v>
      </c>
      <c r="AF352" s="37">
        <f>IF(AQ352="2",BH352,0)</f>
        <v>0</v>
      </c>
      <c r="AG352" s="37">
        <f>IF(AQ352="2",BI352,0)</f>
        <v>0</v>
      </c>
      <c r="AH352" s="37">
        <f>IF(AQ352="0",BJ352,0)</f>
        <v>0</v>
      </c>
      <c r="AI352" s="49" t="s">
        <v>89</v>
      </c>
      <c r="AJ352" s="37">
        <f>IF(AN352=0,J352,0)</f>
        <v>0</v>
      </c>
      <c r="AK352" s="37">
        <f>IF(AN352=12,J352,0)</f>
        <v>0</v>
      </c>
      <c r="AL352" s="37">
        <f>IF(AN352=21,J352,0)</f>
        <v>0</v>
      </c>
      <c r="AN352" s="37">
        <v>21</v>
      </c>
      <c r="AO352" s="37">
        <f>G352*0.556967951</f>
        <v>0</v>
      </c>
      <c r="AP352" s="37">
        <f>G352*(1-0.556967951)</f>
        <v>0</v>
      </c>
      <c r="AQ352" s="72" t="s">
        <v>219</v>
      </c>
      <c r="AV352" s="37">
        <f>AW352+AX352</f>
        <v>0</v>
      </c>
      <c r="AW352" s="37">
        <f>F352*AO352</f>
        <v>0</v>
      </c>
      <c r="AX352" s="37">
        <f>F352*AP352</f>
        <v>0</v>
      </c>
      <c r="AY352" s="72" t="s">
        <v>1142</v>
      </c>
      <c r="AZ352" s="72" t="s">
        <v>1143</v>
      </c>
      <c r="BA352" s="49" t="s">
        <v>226</v>
      </c>
      <c r="BC352" s="37">
        <f>AW352+AX352</f>
        <v>0</v>
      </c>
      <c r="BD352" s="37">
        <f>G352/(100-BE352)*100</f>
        <v>0</v>
      </c>
      <c r="BE352" s="37">
        <v>0</v>
      </c>
      <c r="BF352" s="37">
        <f>352</f>
        <v>352</v>
      </c>
      <c r="BH352" s="37">
        <f>F352*AO352</f>
        <v>0</v>
      </c>
      <c r="BI352" s="37">
        <f>F352*AP352</f>
        <v>0</v>
      </c>
      <c r="BJ352" s="37">
        <f>F352*G352</f>
        <v>0</v>
      </c>
      <c r="BK352" s="37"/>
      <c r="BL352" s="37">
        <v>91</v>
      </c>
      <c r="BW352" s="37">
        <v>21</v>
      </c>
      <c r="BX352" s="3" t="s">
        <v>1152</v>
      </c>
    </row>
    <row r="353" spans="1:76" x14ac:dyDescent="0.25">
      <c r="A353" s="80" t="s">
        <v>4</v>
      </c>
      <c r="B353" s="81" t="s">
        <v>173</v>
      </c>
      <c r="C353" s="365" t="s">
        <v>174</v>
      </c>
      <c r="D353" s="366"/>
      <c r="E353" s="82" t="s">
        <v>81</v>
      </c>
      <c r="F353" s="82" t="s">
        <v>81</v>
      </c>
      <c r="G353" s="83" t="s">
        <v>81</v>
      </c>
      <c r="H353" s="43">
        <f>SUM(H354:H358)</f>
        <v>0</v>
      </c>
      <c r="I353" s="43">
        <f>SUM(I354:I358)</f>
        <v>0</v>
      </c>
      <c r="J353" s="43">
        <f>SUM(J354:J358)</f>
        <v>0</v>
      </c>
      <c r="K353" s="84" t="s">
        <v>4</v>
      </c>
      <c r="AI353" s="49" t="s">
        <v>89</v>
      </c>
      <c r="AS353" s="43">
        <f>SUM(AJ354:AJ358)</f>
        <v>0</v>
      </c>
      <c r="AT353" s="43">
        <f>SUM(AK354:AK358)</f>
        <v>0</v>
      </c>
      <c r="AU353" s="43">
        <f>SUM(AL354:AL358)</f>
        <v>0</v>
      </c>
    </row>
    <row r="354" spans="1:76" x14ac:dyDescent="0.25">
      <c r="A354" s="1" t="s">
        <v>1153</v>
      </c>
      <c r="B354" s="2" t="s">
        <v>1154</v>
      </c>
      <c r="C354" s="279" t="s">
        <v>1155</v>
      </c>
      <c r="D354" s="280"/>
      <c r="E354" s="2" t="s">
        <v>249</v>
      </c>
      <c r="F354" s="37">
        <v>226.96170000000001</v>
      </c>
      <c r="G354" s="78">
        <v>0</v>
      </c>
      <c r="H354" s="37">
        <f>F354*AO354</f>
        <v>0</v>
      </c>
      <c r="I354" s="37">
        <f>F354*AP354</f>
        <v>0</v>
      </c>
      <c r="J354" s="37">
        <f>F354*G354</f>
        <v>0</v>
      </c>
      <c r="K354" s="79" t="s">
        <v>223</v>
      </c>
      <c r="Z354" s="37">
        <f>IF(AQ354="5",BJ354,0)</f>
        <v>0</v>
      </c>
      <c r="AB354" s="37">
        <f>IF(AQ354="1",BH354,0)</f>
        <v>0</v>
      </c>
      <c r="AC354" s="37">
        <f>IF(AQ354="1",BI354,0)</f>
        <v>0</v>
      </c>
      <c r="AD354" s="37">
        <f>IF(AQ354="7",BH354,0)</f>
        <v>0</v>
      </c>
      <c r="AE354" s="37">
        <f>IF(AQ354="7",BI354,0)</f>
        <v>0</v>
      </c>
      <c r="AF354" s="37">
        <f>IF(AQ354="2",BH354,0)</f>
        <v>0</v>
      </c>
      <c r="AG354" s="37">
        <f>IF(AQ354="2",BI354,0)</f>
        <v>0</v>
      </c>
      <c r="AH354" s="37">
        <f>IF(AQ354="0",BJ354,0)</f>
        <v>0</v>
      </c>
      <c r="AI354" s="49" t="s">
        <v>89</v>
      </c>
      <c r="AJ354" s="37">
        <f>IF(AN354=0,J354,0)</f>
        <v>0</v>
      </c>
      <c r="AK354" s="37">
        <f>IF(AN354=12,J354,0)</f>
        <v>0</v>
      </c>
      <c r="AL354" s="37">
        <f>IF(AN354=21,J354,0)</f>
        <v>0</v>
      </c>
      <c r="AN354" s="37">
        <v>21</v>
      </c>
      <c r="AO354" s="37">
        <f>G354*0.000392157</f>
        <v>0</v>
      </c>
      <c r="AP354" s="37">
        <f>G354*(1-0.000392157)</f>
        <v>0</v>
      </c>
      <c r="AQ354" s="72" t="s">
        <v>219</v>
      </c>
      <c r="AV354" s="37">
        <f>AW354+AX354</f>
        <v>0</v>
      </c>
      <c r="AW354" s="37">
        <f>F354*AO354</f>
        <v>0</v>
      </c>
      <c r="AX354" s="37">
        <f>F354*AP354</f>
        <v>0</v>
      </c>
      <c r="AY354" s="72" t="s">
        <v>1156</v>
      </c>
      <c r="AZ354" s="72" t="s">
        <v>1143</v>
      </c>
      <c r="BA354" s="49" t="s">
        <v>226</v>
      </c>
      <c r="BC354" s="37">
        <f>AW354+AX354</f>
        <v>0</v>
      </c>
      <c r="BD354" s="37">
        <f>G354/(100-BE354)*100</f>
        <v>0</v>
      </c>
      <c r="BE354" s="37">
        <v>0</v>
      </c>
      <c r="BF354" s="37">
        <f>354</f>
        <v>354</v>
      </c>
      <c r="BH354" s="37">
        <f>F354*AO354</f>
        <v>0</v>
      </c>
      <c r="BI354" s="37">
        <f>F354*AP354</f>
        <v>0</v>
      </c>
      <c r="BJ354" s="37">
        <f>F354*G354</f>
        <v>0</v>
      </c>
      <c r="BK354" s="37"/>
      <c r="BL354" s="37">
        <v>94</v>
      </c>
      <c r="BW354" s="37">
        <v>21</v>
      </c>
      <c r="BX354" s="3" t="s">
        <v>1155</v>
      </c>
    </row>
    <row r="355" spans="1:76" x14ac:dyDescent="0.25">
      <c r="A355" s="1" t="s">
        <v>1157</v>
      </c>
      <c r="B355" s="2" t="s">
        <v>1158</v>
      </c>
      <c r="C355" s="279" t="s">
        <v>1159</v>
      </c>
      <c r="D355" s="280"/>
      <c r="E355" s="2" t="s">
        <v>249</v>
      </c>
      <c r="F355" s="37">
        <v>453.92340000000002</v>
      </c>
      <c r="G355" s="78">
        <v>0</v>
      </c>
      <c r="H355" s="37">
        <f>F355*AO355</f>
        <v>0</v>
      </c>
      <c r="I355" s="37">
        <f>F355*AP355</f>
        <v>0</v>
      </c>
      <c r="J355" s="37">
        <f>F355*G355</f>
        <v>0</v>
      </c>
      <c r="K355" s="79" t="s">
        <v>223</v>
      </c>
      <c r="Z355" s="37">
        <f>IF(AQ355="5",BJ355,0)</f>
        <v>0</v>
      </c>
      <c r="AB355" s="37">
        <f>IF(AQ355="1",BH355,0)</f>
        <v>0</v>
      </c>
      <c r="AC355" s="37">
        <f>IF(AQ355="1",BI355,0)</f>
        <v>0</v>
      </c>
      <c r="AD355" s="37">
        <f>IF(AQ355="7",BH355,0)</f>
        <v>0</v>
      </c>
      <c r="AE355" s="37">
        <f>IF(AQ355="7",BI355,0)</f>
        <v>0</v>
      </c>
      <c r="AF355" s="37">
        <f>IF(AQ355="2",BH355,0)</f>
        <v>0</v>
      </c>
      <c r="AG355" s="37">
        <f>IF(AQ355="2",BI355,0)</f>
        <v>0</v>
      </c>
      <c r="AH355" s="37">
        <f>IF(AQ355="0",BJ355,0)</f>
        <v>0</v>
      </c>
      <c r="AI355" s="49" t="s">
        <v>89</v>
      </c>
      <c r="AJ355" s="37">
        <f>IF(AN355=0,J355,0)</f>
        <v>0</v>
      </c>
      <c r="AK355" s="37">
        <f>IF(AN355=12,J355,0)</f>
        <v>0</v>
      </c>
      <c r="AL355" s="37">
        <f>IF(AN355=21,J355,0)</f>
        <v>0</v>
      </c>
      <c r="AN355" s="37">
        <v>21</v>
      </c>
      <c r="AO355" s="37">
        <f>G355*0.94775852</f>
        <v>0</v>
      </c>
      <c r="AP355" s="37">
        <f>G355*(1-0.94775852)</f>
        <v>0</v>
      </c>
      <c r="AQ355" s="72" t="s">
        <v>219</v>
      </c>
      <c r="AV355" s="37">
        <f>AW355+AX355</f>
        <v>0</v>
      </c>
      <c r="AW355" s="37">
        <f>F355*AO355</f>
        <v>0</v>
      </c>
      <c r="AX355" s="37">
        <f>F355*AP355</f>
        <v>0</v>
      </c>
      <c r="AY355" s="72" t="s">
        <v>1156</v>
      </c>
      <c r="AZ355" s="72" t="s">
        <v>1143</v>
      </c>
      <c r="BA355" s="49" t="s">
        <v>226</v>
      </c>
      <c r="BC355" s="37">
        <f>AW355+AX355</f>
        <v>0</v>
      </c>
      <c r="BD355" s="37">
        <f>G355/(100-BE355)*100</f>
        <v>0</v>
      </c>
      <c r="BE355" s="37">
        <v>0</v>
      </c>
      <c r="BF355" s="37">
        <f>355</f>
        <v>355</v>
      </c>
      <c r="BH355" s="37">
        <f>F355*AO355</f>
        <v>0</v>
      </c>
      <c r="BI355" s="37">
        <f>F355*AP355</f>
        <v>0</v>
      </c>
      <c r="BJ355" s="37">
        <f>F355*G355</f>
        <v>0</v>
      </c>
      <c r="BK355" s="37"/>
      <c r="BL355" s="37">
        <v>94</v>
      </c>
      <c r="BW355" s="37">
        <v>21</v>
      </c>
      <c r="BX355" s="3" t="s">
        <v>1159</v>
      </c>
    </row>
    <row r="356" spans="1:76" x14ac:dyDescent="0.25">
      <c r="A356" s="1" t="s">
        <v>1160</v>
      </c>
      <c r="B356" s="2" t="s">
        <v>1161</v>
      </c>
      <c r="C356" s="279" t="s">
        <v>1162</v>
      </c>
      <c r="D356" s="280"/>
      <c r="E356" s="2" t="s">
        <v>249</v>
      </c>
      <c r="F356" s="37">
        <v>226.96170000000001</v>
      </c>
      <c r="G356" s="78">
        <v>0</v>
      </c>
      <c r="H356" s="37">
        <f>F356*AO356</f>
        <v>0</v>
      </c>
      <c r="I356" s="37">
        <f>F356*AP356</f>
        <v>0</v>
      </c>
      <c r="J356" s="37">
        <f>F356*G356</f>
        <v>0</v>
      </c>
      <c r="K356" s="79" t="s">
        <v>223</v>
      </c>
      <c r="Z356" s="37">
        <f>IF(AQ356="5",BJ356,0)</f>
        <v>0</v>
      </c>
      <c r="AB356" s="37">
        <f>IF(AQ356="1",BH356,0)</f>
        <v>0</v>
      </c>
      <c r="AC356" s="37">
        <f>IF(AQ356="1",BI356,0)</f>
        <v>0</v>
      </c>
      <c r="AD356" s="37">
        <f>IF(AQ356="7",BH356,0)</f>
        <v>0</v>
      </c>
      <c r="AE356" s="37">
        <f>IF(AQ356="7",BI356,0)</f>
        <v>0</v>
      </c>
      <c r="AF356" s="37">
        <f>IF(AQ356="2",BH356,0)</f>
        <v>0</v>
      </c>
      <c r="AG356" s="37">
        <f>IF(AQ356="2",BI356,0)</f>
        <v>0</v>
      </c>
      <c r="AH356" s="37">
        <f>IF(AQ356="0",BJ356,0)</f>
        <v>0</v>
      </c>
      <c r="AI356" s="49" t="s">
        <v>89</v>
      </c>
      <c r="AJ356" s="37">
        <f>IF(AN356=0,J356,0)</f>
        <v>0</v>
      </c>
      <c r="AK356" s="37">
        <f>IF(AN356=12,J356,0)</f>
        <v>0</v>
      </c>
      <c r="AL356" s="37">
        <f>IF(AN356=21,J356,0)</f>
        <v>0</v>
      </c>
      <c r="AN356" s="37">
        <v>21</v>
      </c>
      <c r="AO356" s="37">
        <f>G356*0</f>
        <v>0</v>
      </c>
      <c r="AP356" s="37">
        <f>G356*(1-0)</f>
        <v>0</v>
      </c>
      <c r="AQ356" s="72" t="s">
        <v>219</v>
      </c>
      <c r="AV356" s="37">
        <f>AW356+AX356</f>
        <v>0</v>
      </c>
      <c r="AW356" s="37">
        <f>F356*AO356</f>
        <v>0</v>
      </c>
      <c r="AX356" s="37">
        <f>F356*AP356</f>
        <v>0</v>
      </c>
      <c r="AY356" s="72" t="s">
        <v>1156</v>
      </c>
      <c r="AZ356" s="72" t="s">
        <v>1143</v>
      </c>
      <c r="BA356" s="49" t="s">
        <v>226</v>
      </c>
      <c r="BC356" s="37">
        <f>AW356+AX356</f>
        <v>0</v>
      </c>
      <c r="BD356" s="37">
        <f>G356/(100-BE356)*100</f>
        <v>0</v>
      </c>
      <c r="BE356" s="37">
        <v>0</v>
      </c>
      <c r="BF356" s="37">
        <f>356</f>
        <v>356</v>
      </c>
      <c r="BH356" s="37">
        <f>F356*AO356</f>
        <v>0</v>
      </c>
      <c r="BI356" s="37">
        <f>F356*AP356</f>
        <v>0</v>
      </c>
      <c r="BJ356" s="37">
        <f>F356*G356</f>
        <v>0</v>
      </c>
      <c r="BK356" s="37"/>
      <c r="BL356" s="37">
        <v>94</v>
      </c>
      <c r="BW356" s="37">
        <v>21</v>
      </c>
      <c r="BX356" s="3" t="s">
        <v>1162</v>
      </c>
    </row>
    <row r="357" spans="1:76" x14ac:dyDescent="0.25">
      <c r="A357" s="1" t="s">
        <v>1163</v>
      </c>
      <c r="B357" s="2" t="s">
        <v>1164</v>
      </c>
      <c r="C357" s="279" t="s">
        <v>1165</v>
      </c>
      <c r="D357" s="280"/>
      <c r="E357" s="2" t="s">
        <v>1166</v>
      </c>
      <c r="F357" s="37">
        <v>30</v>
      </c>
      <c r="G357" s="78">
        <v>0</v>
      </c>
      <c r="H357" s="37">
        <f>F357*AO357</f>
        <v>0</v>
      </c>
      <c r="I357" s="37">
        <f>F357*AP357</f>
        <v>0</v>
      </c>
      <c r="J357" s="37">
        <f>F357*G357</f>
        <v>0</v>
      </c>
      <c r="K357" s="79" t="s">
        <v>223</v>
      </c>
      <c r="Z357" s="37">
        <f>IF(AQ357="5",BJ357,0)</f>
        <v>0</v>
      </c>
      <c r="AB357" s="37">
        <f>IF(AQ357="1",BH357,0)</f>
        <v>0</v>
      </c>
      <c r="AC357" s="37">
        <f>IF(AQ357="1",BI357,0)</f>
        <v>0</v>
      </c>
      <c r="AD357" s="37">
        <f>IF(AQ357="7",BH357,0)</f>
        <v>0</v>
      </c>
      <c r="AE357" s="37">
        <f>IF(AQ357="7",BI357,0)</f>
        <v>0</v>
      </c>
      <c r="AF357" s="37">
        <f>IF(AQ357="2",BH357,0)</f>
        <v>0</v>
      </c>
      <c r="AG357" s="37">
        <f>IF(AQ357="2",BI357,0)</f>
        <v>0</v>
      </c>
      <c r="AH357" s="37">
        <f>IF(AQ357="0",BJ357,0)</f>
        <v>0</v>
      </c>
      <c r="AI357" s="49" t="s">
        <v>89</v>
      </c>
      <c r="AJ357" s="37">
        <f>IF(AN357=0,J357,0)</f>
        <v>0</v>
      </c>
      <c r="AK357" s="37">
        <f>IF(AN357=12,J357,0)</f>
        <v>0</v>
      </c>
      <c r="AL357" s="37">
        <f>IF(AN357=21,J357,0)</f>
        <v>0</v>
      </c>
      <c r="AN357" s="37">
        <v>21</v>
      </c>
      <c r="AO357" s="37">
        <f>G357*0</f>
        <v>0</v>
      </c>
      <c r="AP357" s="37">
        <f>G357*(1-0)</f>
        <v>0</v>
      </c>
      <c r="AQ357" s="72" t="s">
        <v>219</v>
      </c>
      <c r="AV357" s="37">
        <f>AW357+AX357</f>
        <v>0</v>
      </c>
      <c r="AW357" s="37">
        <f>F357*AO357</f>
        <v>0</v>
      </c>
      <c r="AX357" s="37">
        <f>F357*AP357</f>
        <v>0</v>
      </c>
      <c r="AY357" s="72" t="s">
        <v>1156</v>
      </c>
      <c r="AZ357" s="72" t="s">
        <v>1143</v>
      </c>
      <c r="BA357" s="49" t="s">
        <v>226</v>
      </c>
      <c r="BC357" s="37">
        <f>AW357+AX357</f>
        <v>0</v>
      </c>
      <c r="BD357" s="37">
        <f>G357/(100-BE357)*100</f>
        <v>0</v>
      </c>
      <c r="BE357" s="37">
        <v>0</v>
      </c>
      <c r="BF357" s="37">
        <f>357</f>
        <v>357</v>
      </c>
      <c r="BH357" s="37">
        <f>F357*AO357</f>
        <v>0</v>
      </c>
      <c r="BI357" s="37">
        <f>F357*AP357</f>
        <v>0</v>
      </c>
      <c r="BJ357" s="37">
        <f>F357*G357</f>
        <v>0</v>
      </c>
      <c r="BK357" s="37"/>
      <c r="BL357" s="37">
        <v>94</v>
      </c>
      <c r="BW357" s="37">
        <v>21</v>
      </c>
      <c r="BX357" s="3" t="s">
        <v>1165</v>
      </c>
    </row>
    <row r="358" spans="1:76" x14ac:dyDescent="0.25">
      <c r="A358" s="1" t="s">
        <v>1167</v>
      </c>
      <c r="B358" s="2" t="s">
        <v>1168</v>
      </c>
      <c r="C358" s="279" t="s">
        <v>1169</v>
      </c>
      <c r="D358" s="280"/>
      <c r="E358" s="2" t="s">
        <v>249</v>
      </c>
      <c r="F358" s="37">
        <v>69.445999999999998</v>
      </c>
      <c r="G358" s="78">
        <v>0</v>
      </c>
      <c r="H358" s="37">
        <f>F358*AO358</f>
        <v>0</v>
      </c>
      <c r="I358" s="37">
        <f>F358*AP358</f>
        <v>0</v>
      </c>
      <c r="J358" s="37">
        <f>F358*G358</f>
        <v>0</v>
      </c>
      <c r="K358" s="79" t="s">
        <v>223</v>
      </c>
      <c r="Z358" s="37">
        <f>IF(AQ358="5",BJ358,0)</f>
        <v>0</v>
      </c>
      <c r="AB358" s="37">
        <f>IF(AQ358="1",BH358,0)</f>
        <v>0</v>
      </c>
      <c r="AC358" s="37">
        <f>IF(AQ358="1",BI358,0)</f>
        <v>0</v>
      </c>
      <c r="AD358" s="37">
        <f>IF(AQ358="7",BH358,0)</f>
        <v>0</v>
      </c>
      <c r="AE358" s="37">
        <f>IF(AQ358="7",BI358,0)</f>
        <v>0</v>
      </c>
      <c r="AF358" s="37">
        <f>IF(AQ358="2",BH358,0)</f>
        <v>0</v>
      </c>
      <c r="AG358" s="37">
        <f>IF(AQ358="2",BI358,0)</f>
        <v>0</v>
      </c>
      <c r="AH358" s="37">
        <f>IF(AQ358="0",BJ358,0)</f>
        <v>0</v>
      </c>
      <c r="AI358" s="49" t="s">
        <v>89</v>
      </c>
      <c r="AJ358" s="37">
        <f>IF(AN358=0,J358,0)</f>
        <v>0</v>
      </c>
      <c r="AK358" s="37">
        <f>IF(AN358=12,J358,0)</f>
        <v>0</v>
      </c>
      <c r="AL358" s="37">
        <f>IF(AN358=21,J358,0)</f>
        <v>0</v>
      </c>
      <c r="AN358" s="37">
        <v>21</v>
      </c>
      <c r="AO358" s="37">
        <f>G358*0.406703361</f>
        <v>0</v>
      </c>
      <c r="AP358" s="37">
        <f>G358*(1-0.406703361)</f>
        <v>0</v>
      </c>
      <c r="AQ358" s="72" t="s">
        <v>219</v>
      </c>
      <c r="AV358" s="37">
        <f>AW358+AX358</f>
        <v>0</v>
      </c>
      <c r="AW358" s="37">
        <f>F358*AO358</f>
        <v>0</v>
      </c>
      <c r="AX358" s="37">
        <f>F358*AP358</f>
        <v>0</v>
      </c>
      <c r="AY358" s="72" t="s">
        <v>1156</v>
      </c>
      <c r="AZ358" s="72" t="s">
        <v>1143</v>
      </c>
      <c r="BA358" s="49" t="s">
        <v>226</v>
      </c>
      <c r="BC358" s="37">
        <f>AW358+AX358</f>
        <v>0</v>
      </c>
      <c r="BD358" s="37">
        <f>G358/(100-BE358)*100</f>
        <v>0</v>
      </c>
      <c r="BE358" s="37">
        <v>0</v>
      </c>
      <c r="BF358" s="37">
        <f>358</f>
        <v>358</v>
      </c>
      <c r="BH358" s="37">
        <f>F358*AO358</f>
        <v>0</v>
      </c>
      <c r="BI358" s="37">
        <f>F358*AP358</f>
        <v>0</v>
      </c>
      <c r="BJ358" s="37">
        <f>F358*G358</f>
        <v>0</v>
      </c>
      <c r="BK358" s="37"/>
      <c r="BL358" s="37">
        <v>94</v>
      </c>
      <c r="BW358" s="37">
        <v>21</v>
      </c>
      <c r="BX358" s="3" t="s">
        <v>1169</v>
      </c>
    </row>
    <row r="359" spans="1:76" x14ac:dyDescent="0.25">
      <c r="A359" s="80" t="s">
        <v>4</v>
      </c>
      <c r="B359" s="81" t="s">
        <v>175</v>
      </c>
      <c r="C359" s="365" t="s">
        <v>176</v>
      </c>
      <c r="D359" s="366"/>
      <c r="E359" s="82" t="s">
        <v>81</v>
      </c>
      <c r="F359" s="82" t="s">
        <v>81</v>
      </c>
      <c r="G359" s="83" t="s">
        <v>81</v>
      </c>
      <c r="H359" s="43">
        <f>SUM(H360:H365)</f>
        <v>0</v>
      </c>
      <c r="I359" s="43">
        <f>SUM(I360:I365)</f>
        <v>0</v>
      </c>
      <c r="J359" s="43">
        <f>SUM(J360:J365)</f>
        <v>0</v>
      </c>
      <c r="K359" s="84" t="s">
        <v>4</v>
      </c>
      <c r="AI359" s="49" t="s">
        <v>89</v>
      </c>
      <c r="AS359" s="43">
        <f>SUM(AJ360:AJ365)</f>
        <v>0</v>
      </c>
      <c r="AT359" s="43">
        <f>SUM(AK360:AK365)</f>
        <v>0</v>
      </c>
      <c r="AU359" s="43">
        <f>SUM(AL360:AL365)</f>
        <v>0</v>
      </c>
    </row>
    <row r="360" spans="1:76" x14ac:dyDescent="0.25">
      <c r="A360" s="1" t="s">
        <v>1170</v>
      </c>
      <c r="B360" s="2" t="s">
        <v>1171</v>
      </c>
      <c r="C360" s="279" t="s">
        <v>1172</v>
      </c>
      <c r="D360" s="280"/>
      <c r="E360" s="2" t="s">
        <v>333</v>
      </c>
      <c r="F360" s="37">
        <v>3.89</v>
      </c>
      <c r="G360" s="78">
        <v>0</v>
      </c>
      <c r="H360" s="37">
        <f t="shared" ref="H360:H365" si="448">F360*AO360</f>
        <v>0</v>
      </c>
      <c r="I360" s="37">
        <f t="shared" ref="I360:I365" si="449">F360*AP360</f>
        <v>0</v>
      </c>
      <c r="J360" s="37">
        <f t="shared" ref="J360:J365" si="450">F360*G360</f>
        <v>0</v>
      </c>
      <c r="K360" s="79" t="s">
        <v>334</v>
      </c>
      <c r="Z360" s="37">
        <f t="shared" ref="Z360:Z365" si="451">IF(AQ360="5",BJ360,0)</f>
        <v>0</v>
      </c>
      <c r="AB360" s="37">
        <f t="shared" ref="AB360:AB365" si="452">IF(AQ360="1",BH360,0)</f>
        <v>0</v>
      </c>
      <c r="AC360" s="37">
        <f t="shared" ref="AC360:AC365" si="453">IF(AQ360="1",BI360,0)</f>
        <v>0</v>
      </c>
      <c r="AD360" s="37">
        <f t="shared" ref="AD360:AD365" si="454">IF(AQ360="7",BH360,0)</f>
        <v>0</v>
      </c>
      <c r="AE360" s="37">
        <f t="shared" ref="AE360:AE365" si="455">IF(AQ360="7",BI360,0)</f>
        <v>0</v>
      </c>
      <c r="AF360" s="37">
        <f t="shared" ref="AF360:AF365" si="456">IF(AQ360="2",BH360,0)</f>
        <v>0</v>
      </c>
      <c r="AG360" s="37">
        <f t="shared" ref="AG360:AG365" si="457">IF(AQ360="2",BI360,0)</f>
        <v>0</v>
      </c>
      <c r="AH360" s="37">
        <f t="shared" ref="AH360:AH365" si="458">IF(AQ360="0",BJ360,0)</f>
        <v>0</v>
      </c>
      <c r="AI360" s="49" t="s">
        <v>89</v>
      </c>
      <c r="AJ360" s="37">
        <f t="shared" ref="AJ360:AJ365" si="459">IF(AN360=0,J360,0)</f>
        <v>0</v>
      </c>
      <c r="AK360" s="37">
        <f t="shared" ref="AK360:AK365" si="460">IF(AN360=12,J360,0)</f>
        <v>0</v>
      </c>
      <c r="AL360" s="37">
        <f t="shared" ref="AL360:AL365" si="461">IF(AN360=21,J360,0)</f>
        <v>0</v>
      </c>
      <c r="AN360" s="37">
        <v>21</v>
      </c>
      <c r="AO360" s="37">
        <f>G360*0.512882624</f>
        <v>0</v>
      </c>
      <c r="AP360" s="37">
        <f>G360*(1-0.512882624)</f>
        <v>0</v>
      </c>
      <c r="AQ360" s="72" t="s">
        <v>219</v>
      </c>
      <c r="AV360" s="37">
        <f t="shared" ref="AV360:AV365" si="462">AW360+AX360</f>
        <v>0</v>
      </c>
      <c r="AW360" s="37">
        <f t="shared" ref="AW360:AW365" si="463">F360*AO360</f>
        <v>0</v>
      </c>
      <c r="AX360" s="37">
        <f t="shared" ref="AX360:AX365" si="464">F360*AP360</f>
        <v>0</v>
      </c>
      <c r="AY360" s="72" t="s">
        <v>1173</v>
      </c>
      <c r="AZ360" s="72" t="s">
        <v>1143</v>
      </c>
      <c r="BA360" s="49" t="s">
        <v>226</v>
      </c>
      <c r="BC360" s="37">
        <f t="shared" ref="BC360:BC365" si="465">AW360+AX360</f>
        <v>0</v>
      </c>
      <c r="BD360" s="37">
        <f t="shared" ref="BD360:BD365" si="466">G360/(100-BE360)*100</f>
        <v>0</v>
      </c>
      <c r="BE360" s="37">
        <v>0</v>
      </c>
      <c r="BF360" s="37">
        <f>360</f>
        <v>360</v>
      </c>
      <c r="BH360" s="37">
        <f t="shared" ref="BH360:BH365" si="467">F360*AO360</f>
        <v>0</v>
      </c>
      <c r="BI360" s="37">
        <f t="shared" ref="BI360:BI365" si="468">F360*AP360</f>
        <v>0</v>
      </c>
      <c r="BJ360" s="37">
        <f t="shared" ref="BJ360:BJ365" si="469">F360*G360</f>
        <v>0</v>
      </c>
      <c r="BK360" s="37"/>
      <c r="BL360" s="37">
        <v>95</v>
      </c>
      <c r="BW360" s="37">
        <v>21</v>
      </c>
      <c r="BX360" s="3" t="s">
        <v>1172</v>
      </c>
    </row>
    <row r="361" spans="1:76" x14ac:dyDescent="0.25">
      <c r="A361" s="1" t="s">
        <v>1174</v>
      </c>
      <c r="B361" s="2" t="s">
        <v>1175</v>
      </c>
      <c r="C361" s="279" t="s">
        <v>1176</v>
      </c>
      <c r="D361" s="280"/>
      <c r="E361" s="2" t="s">
        <v>249</v>
      </c>
      <c r="F361" s="37">
        <v>170.51</v>
      </c>
      <c r="G361" s="78">
        <v>0</v>
      </c>
      <c r="H361" s="37">
        <f t="shared" si="448"/>
        <v>0</v>
      </c>
      <c r="I361" s="37">
        <f t="shared" si="449"/>
        <v>0</v>
      </c>
      <c r="J361" s="37">
        <f t="shared" si="450"/>
        <v>0</v>
      </c>
      <c r="K361" s="79" t="s">
        <v>223</v>
      </c>
      <c r="Z361" s="37">
        <f t="shared" si="451"/>
        <v>0</v>
      </c>
      <c r="AB361" s="37">
        <f t="shared" si="452"/>
        <v>0</v>
      </c>
      <c r="AC361" s="37">
        <f t="shared" si="453"/>
        <v>0</v>
      </c>
      <c r="AD361" s="37">
        <f t="shared" si="454"/>
        <v>0</v>
      </c>
      <c r="AE361" s="37">
        <f t="shared" si="455"/>
        <v>0</v>
      </c>
      <c r="AF361" s="37">
        <f t="shared" si="456"/>
        <v>0</v>
      </c>
      <c r="AG361" s="37">
        <f t="shared" si="457"/>
        <v>0</v>
      </c>
      <c r="AH361" s="37">
        <f t="shared" si="458"/>
        <v>0</v>
      </c>
      <c r="AI361" s="49" t="s">
        <v>89</v>
      </c>
      <c r="AJ361" s="37">
        <f t="shared" si="459"/>
        <v>0</v>
      </c>
      <c r="AK361" s="37">
        <f t="shared" si="460"/>
        <v>0</v>
      </c>
      <c r="AL361" s="37">
        <f t="shared" si="461"/>
        <v>0</v>
      </c>
      <c r="AN361" s="37">
        <v>21</v>
      </c>
      <c r="AO361" s="37">
        <f>G361*0.016056338</f>
        <v>0</v>
      </c>
      <c r="AP361" s="37">
        <f>G361*(1-0.016056338)</f>
        <v>0</v>
      </c>
      <c r="AQ361" s="72" t="s">
        <v>219</v>
      </c>
      <c r="AV361" s="37">
        <f t="shared" si="462"/>
        <v>0</v>
      </c>
      <c r="AW361" s="37">
        <f t="shared" si="463"/>
        <v>0</v>
      </c>
      <c r="AX361" s="37">
        <f t="shared" si="464"/>
        <v>0</v>
      </c>
      <c r="AY361" s="72" t="s">
        <v>1173</v>
      </c>
      <c r="AZ361" s="72" t="s">
        <v>1143</v>
      </c>
      <c r="BA361" s="49" t="s">
        <v>226</v>
      </c>
      <c r="BC361" s="37">
        <f t="shared" si="465"/>
        <v>0</v>
      </c>
      <c r="BD361" s="37">
        <f t="shared" si="466"/>
        <v>0</v>
      </c>
      <c r="BE361" s="37">
        <v>0</v>
      </c>
      <c r="BF361" s="37">
        <f>361</f>
        <v>361</v>
      </c>
      <c r="BH361" s="37">
        <f t="shared" si="467"/>
        <v>0</v>
      </c>
      <c r="BI361" s="37">
        <f t="shared" si="468"/>
        <v>0</v>
      </c>
      <c r="BJ361" s="37">
        <f t="shared" si="469"/>
        <v>0</v>
      </c>
      <c r="BK361" s="37"/>
      <c r="BL361" s="37">
        <v>95</v>
      </c>
      <c r="BW361" s="37">
        <v>21</v>
      </c>
      <c r="BX361" s="3" t="s">
        <v>1176</v>
      </c>
    </row>
    <row r="362" spans="1:76" x14ac:dyDescent="0.25">
      <c r="A362" s="1" t="s">
        <v>1177</v>
      </c>
      <c r="B362" s="2" t="s">
        <v>1178</v>
      </c>
      <c r="C362" s="279" t="s">
        <v>1179</v>
      </c>
      <c r="D362" s="280"/>
      <c r="E362" s="2" t="s">
        <v>329</v>
      </c>
      <c r="F362" s="37">
        <v>7</v>
      </c>
      <c r="G362" s="78">
        <v>0</v>
      </c>
      <c r="H362" s="37">
        <f t="shared" si="448"/>
        <v>0</v>
      </c>
      <c r="I362" s="37">
        <f t="shared" si="449"/>
        <v>0</v>
      </c>
      <c r="J362" s="37">
        <f t="shared" si="450"/>
        <v>0</v>
      </c>
      <c r="K362" s="79" t="s">
        <v>223</v>
      </c>
      <c r="Z362" s="37">
        <f t="shared" si="451"/>
        <v>0</v>
      </c>
      <c r="AB362" s="37">
        <f t="shared" si="452"/>
        <v>0</v>
      </c>
      <c r="AC362" s="37">
        <f t="shared" si="453"/>
        <v>0</v>
      </c>
      <c r="AD362" s="37">
        <f t="shared" si="454"/>
        <v>0</v>
      </c>
      <c r="AE362" s="37">
        <f t="shared" si="455"/>
        <v>0</v>
      </c>
      <c r="AF362" s="37">
        <f t="shared" si="456"/>
        <v>0</v>
      </c>
      <c r="AG362" s="37">
        <f t="shared" si="457"/>
        <v>0</v>
      </c>
      <c r="AH362" s="37">
        <f t="shared" si="458"/>
        <v>0</v>
      </c>
      <c r="AI362" s="49" t="s">
        <v>89</v>
      </c>
      <c r="AJ362" s="37">
        <f t="shared" si="459"/>
        <v>0</v>
      </c>
      <c r="AK362" s="37">
        <f t="shared" si="460"/>
        <v>0</v>
      </c>
      <c r="AL362" s="37">
        <f t="shared" si="461"/>
        <v>0</v>
      </c>
      <c r="AN362" s="37">
        <v>21</v>
      </c>
      <c r="AO362" s="37">
        <f>G362*0.16970339</f>
        <v>0</v>
      </c>
      <c r="AP362" s="37">
        <f>G362*(1-0.16970339)</f>
        <v>0</v>
      </c>
      <c r="AQ362" s="72" t="s">
        <v>219</v>
      </c>
      <c r="AV362" s="37">
        <f t="shared" si="462"/>
        <v>0</v>
      </c>
      <c r="AW362" s="37">
        <f t="shared" si="463"/>
        <v>0</v>
      </c>
      <c r="AX362" s="37">
        <f t="shared" si="464"/>
        <v>0</v>
      </c>
      <c r="AY362" s="72" t="s">
        <v>1173</v>
      </c>
      <c r="AZ362" s="72" t="s">
        <v>1143</v>
      </c>
      <c r="BA362" s="49" t="s">
        <v>226</v>
      </c>
      <c r="BC362" s="37">
        <f t="shared" si="465"/>
        <v>0</v>
      </c>
      <c r="BD362" s="37">
        <f t="shared" si="466"/>
        <v>0</v>
      </c>
      <c r="BE362" s="37">
        <v>0</v>
      </c>
      <c r="BF362" s="37">
        <f>362</f>
        <v>362</v>
      </c>
      <c r="BH362" s="37">
        <f t="shared" si="467"/>
        <v>0</v>
      </c>
      <c r="BI362" s="37">
        <f t="shared" si="468"/>
        <v>0</v>
      </c>
      <c r="BJ362" s="37">
        <f t="shared" si="469"/>
        <v>0</v>
      </c>
      <c r="BK362" s="37"/>
      <c r="BL362" s="37">
        <v>95</v>
      </c>
      <c r="BW362" s="37">
        <v>21</v>
      </c>
      <c r="BX362" s="3" t="s">
        <v>1179</v>
      </c>
    </row>
    <row r="363" spans="1:76" x14ac:dyDescent="0.25">
      <c r="A363" s="1" t="s">
        <v>1180</v>
      </c>
      <c r="B363" s="2" t="s">
        <v>1181</v>
      </c>
      <c r="C363" s="279" t="s">
        <v>1182</v>
      </c>
      <c r="D363" s="280"/>
      <c r="E363" s="2" t="s">
        <v>329</v>
      </c>
      <c r="F363" s="37">
        <v>6</v>
      </c>
      <c r="G363" s="78">
        <v>0</v>
      </c>
      <c r="H363" s="37">
        <f t="shared" si="448"/>
        <v>0</v>
      </c>
      <c r="I363" s="37">
        <f t="shared" si="449"/>
        <v>0</v>
      </c>
      <c r="J363" s="37">
        <f t="shared" si="450"/>
        <v>0</v>
      </c>
      <c r="K363" s="79" t="s">
        <v>223</v>
      </c>
      <c r="Z363" s="37">
        <f t="shared" si="451"/>
        <v>0</v>
      </c>
      <c r="AB363" s="37">
        <f t="shared" si="452"/>
        <v>0</v>
      </c>
      <c r="AC363" s="37">
        <f t="shared" si="453"/>
        <v>0</v>
      </c>
      <c r="AD363" s="37">
        <f t="shared" si="454"/>
        <v>0</v>
      </c>
      <c r="AE363" s="37">
        <f t="shared" si="455"/>
        <v>0</v>
      </c>
      <c r="AF363" s="37">
        <f t="shared" si="456"/>
        <v>0</v>
      </c>
      <c r="AG363" s="37">
        <f t="shared" si="457"/>
        <v>0</v>
      </c>
      <c r="AH363" s="37">
        <f t="shared" si="458"/>
        <v>0</v>
      </c>
      <c r="AI363" s="49" t="s">
        <v>89</v>
      </c>
      <c r="AJ363" s="37">
        <f t="shared" si="459"/>
        <v>0</v>
      </c>
      <c r="AK363" s="37">
        <f t="shared" si="460"/>
        <v>0</v>
      </c>
      <c r="AL363" s="37">
        <f t="shared" si="461"/>
        <v>0</v>
      </c>
      <c r="AN363" s="37">
        <v>21</v>
      </c>
      <c r="AO363" s="37">
        <f>G363*1</f>
        <v>0</v>
      </c>
      <c r="AP363" s="37">
        <f>G363*(1-1)</f>
        <v>0</v>
      </c>
      <c r="AQ363" s="72" t="s">
        <v>219</v>
      </c>
      <c r="AV363" s="37">
        <f t="shared" si="462"/>
        <v>0</v>
      </c>
      <c r="AW363" s="37">
        <f t="shared" si="463"/>
        <v>0</v>
      </c>
      <c r="AX363" s="37">
        <f t="shared" si="464"/>
        <v>0</v>
      </c>
      <c r="AY363" s="72" t="s">
        <v>1173</v>
      </c>
      <c r="AZ363" s="72" t="s">
        <v>1143</v>
      </c>
      <c r="BA363" s="49" t="s">
        <v>226</v>
      </c>
      <c r="BC363" s="37">
        <f t="shared" si="465"/>
        <v>0</v>
      </c>
      <c r="BD363" s="37">
        <f t="shared" si="466"/>
        <v>0</v>
      </c>
      <c r="BE363" s="37">
        <v>0</v>
      </c>
      <c r="BF363" s="37">
        <f>363</f>
        <v>363</v>
      </c>
      <c r="BH363" s="37">
        <f t="shared" si="467"/>
        <v>0</v>
      </c>
      <c r="BI363" s="37">
        <f t="shared" si="468"/>
        <v>0</v>
      </c>
      <c r="BJ363" s="37">
        <f t="shared" si="469"/>
        <v>0</v>
      </c>
      <c r="BK363" s="37"/>
      <c r="BL363" s="37">
        <v>95</v>
      </c>
      <c r="BW363" s="37">
        <v>21</v>
      </c>
      <c r="BX363" s="3" t="s">
        <v>1182</v>
      </c>
    </row>
    <row r="364" spans="1:76" x14ac:dyDescent="0.25">
      <c r="A364" s="1" t="s">
        <v>1183</v>
      </c>
      <c r="B364" s="2" t="s">
        <v>1184</v>
      </c>
      <c r="C364" s="279" t="s">
        <v>1185</v>
      </c>
      <c r="D364" s="280"/>
      <c r="E364" s="2" t="s">
        <v>329</v>
      </c>
      <c r="F364" s="37">
        <v>1</v>
      </c>
      <c r="G364" s="78">
        <v>0</v>
      </c>
      <c r="H364" s="37">
        <f t="shared" si="448"/>
        <v>0</v>
      </c>
      <c r="I364" s="37">
        <f t="shared" si="449"/>
        <v>0</v>
      </c>
      <c r="J364" s="37">
        <f t="shared" si="450"/>
        <v>0</v>
      </c>
      <c r="K364" s="79" t="s">
        <v>223</v>
      </c>
      <c r="Z364" s="37">
        <f t="shared" si="451"/>
        <v>0</v>
      </c>
      <c r="AB364" s="37">
        <f t="shared" si="452"/>
        <v>0</v>
      </c>
      <c r="AC364" s="37">
        <f t="shared" si="453"/>
        <v>0</v>
      </c>
      <c r="AD364" s="37">
        <f t="shared" si="454"/>
        <v>0</v>
      </c>
      <c r="AE364" s="37">
        <f t="shared" si="455"/>
        <v>0</v>
      </c>
      <c r="AF364" s="37">
        <f t="shared" si="456"/>
        <v>0</v>
      </c>
      <c r="AG364" s="37">
        <f t="shared" si="457"/>
        <v>0</v>
      </c>
      <c r="AH364" s="37">
        <f t="shared" si="458"/>
        <v>0</v>
      </c>
      <c r="AI364" s="49" t="s">
        <v>89</v>
      </c>
      <c r="AJ364" s="37">
        <f t="shared" si="459"/>
        <v>0</v>
      </c>
      <c r="AK364" s="37">
        <f t="shared" si="460"/>
        <v>0</v>
      </c>
      <c r="AL364" s="37">
        <f t="shared" si="461"/>
        <v>0</v>
      </c>
      <c r="AN364" s="37">
        <v>21</v>
      </c>
      <c r="AO364" s="37">
        <f>G364*1</f>
        <v>0</v>
      </c>
      <c r="AP364" s="37">
        <f>G364*(1-1)</f>
        <v>0</v>
      </c>
      <c r="AQ364" s="72" t="s">
        <v>219</v>
      </c>
      <c r="AV364" s="37">
        <f t="shared" si="462"/>
        <v>0</v>
      </c>
      <c r="AW364" s="37">
        <f t="shared" si="463"/>
        <v>0</v>
      </c>
      <c r="AX364" s="37">
        <f t="shared" si="464"/>
        <v>0</v>
      </c>
      <c r="AY364" s="72" t="s">
        <v>1173</v>
      </c>
      <c r="AZ364" s="72" t="s">
        <v>1143</v>
      </c>
      <c r="BA364" s="49" t="s">
        <v>226</v>
      </c>
      <c r="BC364" s="37">
        <f t="shared" si="465"/>
        <v>0</v>
      </c>
      <c r="BD364" s="37">
        <f t="shared" si="466"/>
        <v>0</v>
      </c>
      <c r="BE364" s="37">
        <v>0</v>
      </c>
      <c r="BF364" s="37">
        <f>364</f>
        <v>364</v>
      </c>
      <c r="BH364" s="37">
        <f t="shared" si="467"/>
        <v>0</v>
      </c>
      <c r="BI364" s="37">
        <f t="shared" si="468"/>
        <v>0</v>
      </c>
      <c r="BJ364" s="37">
        <f t="shared" si="469"/>
        <v>0</v>
      </c>
      <c r="BK364" s="37"/>
      <c r="BL364" s="37">
        <v>95</v>
      </c>
      <c r="BW364" s="37">
        <v>21</v>
      </c>
      <c r="BX364" s="3" t="s">
        <v>1185</v>
      </c>
    </row>
    <row r="365" spans="1:76" x14ac:dyDescent="0.25">
      <c r="A365" s="1" t="s">
        <v>1186</v>
      </c>
      <c r="B365" s="2" t="s">
        <v>520</v>
      </c>
      <c r="C365" s="279" t="s">
        <v>521</v>
      </c>
      <c r="D365" s="280"/>
      <c r="E365" s="2" t="s">
        <v>296</v>
      </c>
      <c r="F365" s="37">
        <v>27.298110000000001</v>
      </c>
      <c r="G365" s="78">
        <v>0</v>
      </c>
      <c r="H365" s="37">
        <f t="shared" si="448"/>
        <v>0</v>
      </c>
      <c r="I365" s="37">
        <f t="shared" si="449"/>
        <v>0</v>
      </c>
      <c r="J365" s="37">
        <f t="shared" si="450"/>
        <v>0</v>
      </c>
      <c r="K365" s="79" t="s">
        <v>223</v>
      </c>
      <c r="Z365" s="37">
        <f t="shared" si="451"/>
        <v>0</v>
      </c>
      <c r="AB365" s="37">
        <f t="shared" si="452"/>
        <v>0</v>
      </c>
      <c r="AC365" s="37">
        <f t="shared" si="453"/>
        <v>0</v>
      </c>
      <c r="AD365" s="37">
        <f t="shared" si="454"/>
        <v>0</v>
      </c>
      <c r="AE365" s="37">
        <f t="shared" si="455"/>
        <v>0</v>
      </c>
      <c r="AF365" s="37">
        <f t="shared" si="456"/>
        <v>0</v>
      </c>
      <c r="AG365" s="37">
        <f t="shared" si="457"/>
        <v>0</v>
      </c>
      <c r="AH365" s="37">
        <f t="shared" si="458"/>
        <v>0</v>
      </c>
      <c r="AI365" s="49" t="s">
        <v>89</v>
      </c>
      <c r="AJ365" s="37">
        <f t="shared" si="459"/>
        <v>0</v>
      </c>
      <c r="AK365" s="37">
        <f t="shared" si="460"/>
        <v>0</v>
      </c>
      <c r="AL365" s="37">
        <f t="shared" si="461"/>
        <v>0</v>
      </c>
      <c r="AN365" s="37">
        <v>21</v>
      </c>
      <c r="AO365" s="37">
        <f>G365*0</f>
        <v>0</v>
      </c>
      <c r="AP365" s="37">
        <f>G365*(1-0)</f>
        <v>0</v>
      </c>
      <c r="AQ365" s="72" t="s">
        <v>237</v>
      </c>
      <c r="AV365" s="37">
        <f t="shared" si="462"/>
        <v>0</v>
      </c>
      <c r="AW365" s="37">
        <f t="shared" si="463"/>
        <v>0</v>
      </c>
      <c r="AX365" s="37">
        <f t="shared" si="464"/>
        <v>0</v>
      </c>
      <c r="AY365" s="72" t="s">
        <v>1173</v>
      </c>
      <c r="AZ365" s="72" t="s">
        <v>1143</v>
      </c>
      <c r="BA365" s="49" t="s">
        <v>226</v>
      </c>
      <c r="BC365" s="37">
        <f t="shared" si="465"/>
        <v>0</v>
      </c>
      <c r="BD365" s="37">
        <f t="shared" si="466"/>
        <v>0</v>
      </c>
      <c r="BE365" s="37">
        <v>0</v>
      </c>
      <c r="BF365" s="37">
        <f>365</f>
        <v>365</v>
      </c>
      <c r="BH365" s="37">
        <f t="shared" si="467"/>
        <v>0</v>
      </c>
      <c r="BI365" s="37">
        <f t="shared" si="468"/>
        <v>0</v>
      </c>
      <c r="BJ365" s="37">
        <f t="shared" si="469"/>
        <v>0</v>
      </c>
      <c r="BK365" s="37"/>
      <c r="BL365" s="37">
        <v>95</v>
      </c>
      <c r="BW365" s="37">
        <v>21</v>
      </c>
      <c r="BX365" s="3" t="s">
        <v>521</v>
      </c>
    </row>
    <row r="366" spans="1:76" x14ac:dyDescent="0.25">
      <c r="A366" s="80" t="s">
        <v>4</v>
      </c>
      <c r="B366" s="81" t="s">
        <v>177</v>
      </c>
      <c r="C366" s="365" t="s">
        <v>178</v>
      </c>
      <c r="D366" s="366"/>
      <c r="E366" s="82" t="s">
        <v>81</v>
      </c>
      <c r="F366" s="82" t="s">
        <v>81</v>
      </c>
      <c r="G366" s="83" t="s">
        <v>81</v>
      </c>
      <c r="H366" s="43">
        <f>SUM(H367:H407)</f>
        <v>0</v>
      </c>
      <c r="I366" s="43">
        <f>SUM(I367:I407)</f>
        <v>0</v>
      </c>
      <c r="J366" s="43">
        <f>SUM(J367:J407)</f>
        <v>0</v>
      </c>
      <c r="K366" s="84" t="s">
        <v>4</v>
      </c>
      <c r="AI366" s="49" t="s">
        <v>89</v>
      </c>
      <c r="AS366" s="43">
        <f>SUM(AJ367:AJ407)</f>
        <v>0</v>
      </c>
      <c r="AT366" s="43">
        <f>SUM(AK367:AK407)</f>
        <v>0</v>
      </c>
      <c r="AU366" s="43">
        <f>SUM(AL367:AL407)</f>
        <v>0</v>
      </c>
    </row>
    <row r="367" spans="1:76" x14ac:dyDescent="0.25">
      <c r="A367" s="1" t="s">
        <v>1187</v>
      </c>
      <c r="B367" s="2" t="s">
        <v>1188</v>
      </c>
      <c r="C367" s="279" t="s">
        <v>1189</v>
      </c>
      <c r="D367" s="280"/>
      <c r="E367" s="2" t="s">
        <v>329</v>
      </c>
      <c r="F367" s="37">
        <v>19</v>
      </c>
      <c r="G367" s="78">
        <v>0</v>
      </c>
      <c r="H367" s="37">
        <f t="shared" ref="H367:H407" si="470">F367*AO367</f>
        <v>0</v>
      </c>
      <c r="I367" s="37">
        <f t="shared" ref="I367:I407" si="471">F367*AP367</f>
        <v>0</v>
      </c>
      <c r="J367" s="37">
        <f t="shared" ref="J367:J407" si="472">F367*G367</f>
        <v>0</v>
      </c>
      <c r="K367" s="79" t="s">
        <v>223</v>
      </c>
      <c r="Z367" s="37">
        <f t="shared" ref="Z367:Z407" si="473">IF(AQ367="5",BJ367,0)</f>
        <v>0</v>
      </c>
      <c r="AB367" s="37">
        <f t="shared" ref="AB367:AB407" si="474">IF(AQ367="1",BH367,0)</f>
        <v>0</v>
      </c>
      <c r="AC367" s="37">
        <f t="shared" ref="AC367:AC407" si="475">IF(AQ367="1",BI367,0)</f>
        <v>0</v>
      </c>
      <c r="AD367" s="37">
        <f t="shared" ref="AD367:AD407" si="476">IF(AQ367="7",BH367,0)</f>
        <v>0</v>
      </c>
      <c r="AE367" s="37">
        <f t="shared" ref="AE367:AE407" si="477">IF(AQ367="7",BI367,0)</f>
        <v>0</v>
      </c>
      <c r="AF367" s="37">
        <f t="shared" ref="AF367:AF407" si="478">IF(AQ367="2",BH367,0)</f>
        <v>0</v>
      </c>
      <c r="AG367" s="37">
        <f t="shared" ref="AG367:AG407" si="479">IF(AQ367="2",BI367,0)</f>
        <v>0</v>
      </c>
      <c r="AH367" s="37">
        <f t="shared" ref="AH367:AH407" si="480">IF(AQ367="0",BJ367,0)</f>
        <v>0</v>
      </c>
      <c r="AI367" s="49" t="s">
        <v>89</v>
      </c>
      <c r="AJ367" s="37">
        <f t="shared" ref="AJ367:AJ407" si="481">IF(AN367=0,J367,0)</f>
        <v>0</v>
      </c>
      <c r="AK367" s="37">
        <f t="shared" ref="AK367:AK407" si="482">IF(AN367=12,J367,0)</f>
        <v>0</v>
      </c>
      <c r="AL367" s="37">
        <f t="shared" ref="AL367:AL407" si="483">IF(AN367=21,J367,0)</f>
        <v>0</v>
      </c>
      <c r="AN367" s="37">
        <v>21</v>
      </c>
      <c r="AO367" s="37">
        <f>G367*0</f>
        <v>0</v>
      </c>
      <c r="AP367" s="37">
        <f>G367*(1-0)</f>
        <v>0</v>
      </c>
      <c r="AQ367" s="72" t="s">
        <v>219</v>
      </c>
      <c r="AV367" s="37">
        <f t="shared" ref="AV367:AV407" si="484">AW367+AX367</f>
        <v>0</v>
      </c>
      <c r="AW367" s="37">
        <f t="shared" ref="AW367:AW407" si="485">F367*AO367</f>
        <v>0</v>
      </c>
      <c r="AX367" s="37">
        <f t="shared" ref="AX367:AX407" si="486">F367*AP367</f>
        <v>0</v>
      </c>
      <c r="AY367" s="72" t="s">
        <v>1190</v>
      </c>
      <c r="AZ367" s="72" t="s">
        <v>1143</v>
      </c>
      <c r="BA367" s="49" t="s">
        <v>226</v>
      </c>
      <c r="BC367" s="37">
        <f t="shared" ref="BC367:BC407" si="487">AW367+AX367</f>
        <v>0</v>
      </c>
      <c r="BD367" s="37">
        <f t="shared" ref="BD367:BD407" si="488">G367/(100-BE367)*100</f>
        <v>0</v>
      </c>
      <c r="BE367" s="37">
        <v>0</v>
      </c>
      <c r="BF367" s="37">
        <f>367</f>
        <v>367</v>
      </c>
      <c r="BH367" s="37">
        <f t="shared" ref="BH367:BH407" si="489">F367*AO367</f>
        <v>0</v>
      </c>
      <c r="BI367" s="37">
        <f t="shared" ref="BI367:BI407" si="490">F367*AP367</f>
        <v>0</v>
      </c>
      <c r="BJ367" s="37">
        <f t="shared" ref="BJ367:BJ407" si="491">F367*G367</f>
        <v>0</v>
      </c>
      <c r="BK367" s="37"/>
      <c r="BL367" s="37">
        <v>96</v>
      </c>
      <c r="BW367" s="37">
        <v>21</v>
      </c>
      <c r="BX367" s="3" t="s">
        <v>1189</v>
      </c>
    </row>
    <row r="368" spans="1:76" x14ac:dyDescent="0.25">
      <c r="A368" s="1" t="s">
        <v>1191</v>
      </c>
      <c r="B368" s="2" t="s">
        <v>1192</v>
      </c>
      <c r="C368" s="279" t="s">
        <v>1193</v>
      </c>
      <c r="D368" s="280"/>
      <c r="E368" s="2" t="s">
        <v>249</v>
      </c>
      <c r="F368" s="37">
        <v>0.73</v>
      </c>
      <c r="G368" s="78">
        <v>0</v>
      </c>
      <c r="H368" s="37">
        <f t="shared" si="470"/>
        <v>0</v>
      </c>
      <c r="I368" s="37">
        <f t="shared" si="471"/>
        <v>0</v>
      </c>
      <c r="J368" s="37">
        <f t="shared" si="472"/>
        <v>0</v>
      </c>
      <c r="K368" s="79" t="s">
        <v>223</v>
      </c>
      <c r="Z368" s="37">
        <f t="shared" si="473"/>
        <v>0</v>
      </c>
      <c r="AB368" s="37">
        <f t="shared" si="474"/>
        <v>0</v>
      </c>
      <c r="AC368" s="37">
        <f t="shared" si="475"/>
        <v>0</v>
      </c>
      <c r="AD368" s="37">
        <f t="shared" si="476"/>
        <v>0</v>
      </c>
      <c r="AE368" s="37">
        <f t="shared" si="477"/>
        <v>0</v>
      </c>
      <c r="AF368" s="37">
        <f t="shared" si="478"/>
        <v>0</v>
      </c>
      <c r="AG368" s="37">
        <f t="shared" si="479"/>
        <v>0</v>
      </c>
      <c r="AH368" s="37">
        <f t="shared" si="480"/>
        <v>0</v>
      </c>
      <c r="AI368" s="49" t="s">
        <v>89</v>
      </c>
      <c r="AJ368" s="37">
        <f t="shared" si="481"/>
        <v>0</v>
      </c>
      <c r="AK368" s="37">
        <f t="shared" si="482"/>
        <v>0</v>
      </c>
      <c r="AL368" s="37">
        <f t="shared" si="483"/>
        <v>0</v>
      </c>
      <c r="AN368" s="37">
        <v>21</v>
      </c>
      <c r="AO368" s="37">
        <f>G368*0.206548387</f>
        <v>0</v>
      </c>
      <c r="AP368" s="37">
        <f>G368*(1-0.206548387)</f>
        <v>0</v>
      </c>
      <c r="AQ368" s="72" t="s">
        <v>219</v>
      </c>
      <c r="AV368" s="37">
        <f t="shared" si="484"/>
        <v>0</v>
      </c>
      <c r="AW368" s="37">
        <f t="shared" si="485"/>
        <v>0</v>
      </c>
      <c r="AX368" s="37">
        <f t="shared" si="486"/>
        <v>0</v>
      </c>
      <c r="AY368" s="72" t="s">
        <v>1190</v>
      </c>
      <c r="AZ368" s="72" t="s">
        <v>1143</v>
      </c>
      <c r="BA368" s="49" t="s">
        <v>226</v>
      </c>
      <c r="BC368" s="37">
        <f t="shared" si="487"/>
        <v>0</v>
      </c>
      <c r="BD368" s="37">
        <f t="shared" si="488"/>
        <v>0</v>
      </c>
      <c r="BE368" s="37">
        <v>0</v>
      </c>
      <c r="BF368" s="37">
        <f>368</f>
        <v>368</v>
      </c>
      <c r="BH368" s="37">
        <f t="shared" si="489"/>
        <v>0</v>
      </c>
      <c r="BI368" s="37">
        <f t="shared" si="490"/>
        <v>0</v>
      </c>
      <c r="BJ368" s="37">
        <f t="shared" si="491"/>
        <v>0</v>
      </c>
      <c r="BK368" s="37"/>
      <c r="BL368" s="37">
        <v>96</v>
      </c>
      <c r="BW368" s="37">
        <v>21</v>
      </c>
      <c r="BX368" s="3" t="s">
        <v>1193</v>
      </c>
    </row>
    <row r="369" spans="1:76" x14ac:dyDescent="0.25">
      <c r="A369" s="1" t="s">
        <v>1194</v>
      </c>
      <c r="B369" s="2" t="s">
        <v>1195</v>
      </c>
      <c r="C369" s="279" t="s">
        <v>1196</v>
      </c>
      <c r="D369" s="280"/>
      <c r="E369" s="2" t="s">
        <v>249</v>
      </c>
      <c r="F369" s="37">
        <v>1.0980000000000001</v>
      </c>
      <c r="G369" s="78">
        <v>0</v>
      </c>
      <c r="H369" s="37">
        <f t="shared" si="470"/>
        <v>0</v>
      </c>
      <c r="I369" s="37">
        <f t="shared" si="471"/>
        <v>0</v>
      </c>
      <c r="J369" s="37">
        <f t="shared" si="472"/>
        <v>0</v>
      </c>
      <c r="K369" s="79" t="s">
        <v>223</v>
      </c>
      <c r="Z369" s="37">
        <f t="shared" si="473"/>
        <v>0</v>
      </c>
      <c r="AB369" s="37">
        <f t="shared" si="474"/>
        <v>0</v>
      </c>
      <c r="AC369" s="37">
        <f t="shared" si="475"/>
        <v>0</v>
      </c>
      <c r="AD369" s="37">
        <f t="shared" si="476"/>
        <v>0</v>
      </c>
      <c r="AE369" s="37">
        <f t="shared" si="477"/>
        <v>0</v>
      </c>
      <c r="AF369" s="37">
        <f t="shared" si="478"/>
        <v>0</v>
      </c>
      <c r="AG369" s="37">
        <f t="shared" si="479"/>
        <v>0</v>
      </c>
      <c r="AH369" s="37">
        <f t="shared" si="480"/>
        <v>0</v>
      </c>
      <c r="AI369" s="49" t="s">
        <v>89</v>
      </c>
      <c r="AJ369" s="37">
        <f t="shared" si="481"/>
        <v>0</v>
      </c>
      <c r="AK369" s="37">
        <f t="shared" si="482"/>
        <v>0</v>
      </c>
      <c r="AL369" s="37">
        <f t="shared" si="483"/>
        <v>0</v>
      </c>
      <c r="AN369" s="37">
        <v>21</v>
      </c>
      <c r="AO369" s="37">
        <f>G369*0.158751572</f>
        <v>0</v>
      </c>
      <c r="AP369" s="37">
        <f>G369*(1-0.158751572)</f>
        <v>0</v>
      </c>
      <c r="AQ369" s="72" t="s">
        <v>219</v>
      </c>
      <c r="AV369" s="37">
        <f t="shared" si="484"/>
        <v>0</v>
      </c>
      <c r="AW369" s="37">
        <f t="shared" si="485"/>
        <v>0</v>
      </c>
      <c r="AX369" s="37">
        <f t="shared" si="486"/>
        <v>0</v>
      </c>
      <c r="AY369" s="72" t="s">
        <v>1190</v>
      </c>
      <c r="AZ369" s="72" t="s">
        <v>1143</v>
      </c>
      <c r="BA369" s="49" t="s">
        <v>226</v>
      </c>
      <c r="BC369" s="37">
        <f t="shared" si="487"/>
        <v>0</v>
      </c>
      <c r="BD369" s="37">
        <f t="shared" si="488"/>
        <v>0</v>
      </c>
      <c r="BE369" s="37">
        <v>0</v>
      </c>
      <c r="BF369" s="37">
        <f>369</f>
        <v>369</v>
      </c>
      <c r="BH369" s="37">
        <f t="shared" si="489"/>
        <v>0</v>
      </c>
      <c r="BI369" s="37">
        <f t="shared" si="490"/>
        <v>0</v>
      </c>
      <c r="BJ369" s="37">
        <f t="shared" si="491"/>
        <v>0</v>
      </c>
      <c r="BK369" s="37"/>
      <c r="BL369" s="37">
        <v>96</v>
      </c>
      <c r="BW369" s="37">
        <v>21</v>
      </c>
      <c r="BX369" s="3" t="s">
        <v>1196</v>
      </c>
    </row>
    <row r="370" spans="1:76" x14ac:dyDescent="0.25">
      <c r="A370" s="1" t="s">
        <v>1197</v>
      </c>
      <c r="B370" s="2" t="s">
        <v>1198</v>
      </c>
      <c r="C370" s="279" t="s">
        <v>1199</v>
      </c>
      <c r="D370" s="280"/>
      <c r="E370" s="2" t="s">
        <v>249</v>
      </c>
      <c r="F370" s="37">
        <v>28.567499999999999</v>
      </c>
      <c r="G370" s="78">
        <v>0</v>
      </c>
      <c r="H370" s="37">
        <f t="shared" si="470"/>
        <v>0</v>
      </c>
      <c r="I370" s="37">
        <f t="shared" si="471"/>
        <v>0</v>
      </c>
      <c r="J370" s="37">
        <f t="shared" si="472"/>
        <v>0</v>
      </c>
      <c r="K370" s="79" t="s">
        <v>223</v>
      </c>
      <c r="Z370" s="37">
        <f t="shared" si="473"/>
        <v>0</v>
      </c>
      <c r="AB370" s="37">
        <f t="shared" si="474"/>
        <v>0</v>
      </c>
      <c r="AC370" s="37">
        <f t="shared" si="475"/>
        <v>0</v>
      </c>
      <c r="AD370" s="37">
        <f t="shared" si="476"/>
        <v>0</v>
      </c>
      <c r="AE370" s="37">
        <f t="shared" si="477"/>
        <v>0</v>
      </c>
      <c r="AF370" s="37">
        <f t="shared" si="478"/>
        <v>0</v>
      </c>
      <c r="AG370" s="37">
        <f t="shared" si="479"/>
        <v>0</v>
      </c>
      <c r="AH370" s="37">
        <f t="shared" si="480"/>
        <v>0</v>
      </c>
      <c r="AI370" s="49" t="s">
        <v>89</v>
      </c>
      <c r="AJ370" s="37">
        <f t="shared" si="481"/>
        <v>0</v>
      </c>
      <c r="AK370" s="37">
        <f t="shared" si="482"/>
        <v>0</v>
      </c>
      <c r="AL370" s="37">
        <f t="shared" si="483"/>
        <v>0</v>
      </c>
      <c r="AN370" s="37">
        <v>21</v>
      </c>
      <c r="AO370" s="37">
        <f>G370*0.178538154</f>
        <v>0</v>
      </c>
      <c r="AP370" s="37">
        <f>G370*(1-0.178538154)</f>
        <v>0</v>
      </c>
      <c r="AQ370" s="72" t="s">
        <v>219</v>
      </c>
      <c r="AV370" s="37">
        <f t="shared" si="484"/>
        <v>0</v>
      </c>
      <c r="AW370" s="37">
        <f t="shared" si="485"/>
        <v>0</v>
      </c>
      <c r="AX370" s="37">
        <f t="shared" si="486"/>
        <v>0</v>
      </c>
      <c r="AY370" s="72" t="s">
        <v>1190</v>
      </c>
      <c r="AZ370" s="72" t="s">
        <v>1143</v>
      </c>
      <c r="BA370" s="49" t="s">
        <v>226</v>
      </c>
      <c r="BC370" s="37">
        <f t="shared" si="487"/>
        <v>0</v>
      </c>
      <c r="BD370" s="37">
        <f t="shared" si="488"/>
        <v>0</v>
      </c>
      <c r="BE370" s="37">
        <v>0</v>
      </c>
      <c r="BF370" s="37">
        <f>370</f>
        <v>370</v>
      </c>
      <c r="BH370" s="37">
        <f t="shared" si="489"/>
        <v>0</v>
      </c>
      <c r="BI370" s="37">
        <f t="shared" si="490"/>
        <v>0</v>
      </c>
      <c r="BJ370" s="37">
        <f t="shared" si="491"/>
        <v>0</v>
      </c>
      <c r="BK370" s="37"/>
      <c r="BL370" s="37">
        <v>96</v>
      </c>
      <c r="BW370" s="37">
        <v>21</v>
      </c>
      <c r="BX370" s="3" t="s">
        <v>1199</v>
      </c>
    </row>
    <row r="371" spans="1:76" x14ac:dyDescent="0.25">
      <c r="A371" s="1" t="s">
        <v>1200</v>
      </c>
      <c r="B371" s="2" t="s">
        <v>1201</v>
      </c>
      <c r="C371" s="279" t="s">
        <v>1202</v>
      </c>
      <c r="D371" s="280"/>
      <c r="E371" s="2" t="s">
        <v>329</v>
      </c>
      <c r="F371" s="37">
        <v>17</v>
      </c>
      <c r="G371" s="78">
        <v>0</v>
      </c>
      <c r="H371" s="37">
        <f t="shared" si="470"/>
        <v>0</v>
      </c>
      <c r="I371" s="37">
        <f t="shared" si="471"/>
        <v>0</v>
      </c>
      <c r="J371" s="37">
        <f t="shared" si="472"/>
        <v>0</v>
      </c>
      <c r="K371" s="79" t="s">
        <v>223</v>
      </c>
      <c r="Z371" s="37">
        <f t="shared" si="473"/>
        <v>0</v>
      </c>
      <c r="AB371" s="37">
        <f t="shared" si="474"/>
        <v>0</v>
      </c>
      <c r="AC371" s="37">
        <f t="shared" si="475"/>
        <v>0</v>
      </c>
      <c r="AD371" s="37">
        <f t="shared" si="476"/>
        <v>0</v>
      </c>
      <c r="AE371" s="37">
        <f t="shared" si="477"/>
        <v>0</v>
      </c>
      <c r="AF371" s="37">
        <f t="shared" si="478"/>
        <v>0</v>
      </c>
      <c r="AG371" s="37">
        <f t="shared" si="479"/>
        <v>0</v>
      </c>
      <c r="AH371" s="37">
        <f t="shared" si="480"/>
        <v>0</v>
      </c>
      <c r="AI371" s="49" t="s">
        <v>89</v>
      </c>
      <c r="AJ371" s="37">
        <f t="shared" si="481"/>
        <v>0</v>
      </c>
      <c r="AK371" s="37">
        <f t="shared" si="482"/>
        <v>0</v>
      </c>
      <c r="AL371" s="37">
        <f t="shared" si="483"/>
        <v>0</v>
      </c>
      <c r="AN371" s="37">
        <v>21</v>
      </c>
      <c r="AO371" s="37">
        <f>G371*0</f>
        <v>0</v>
      </c>
      <c r="AP371" s="37">
        <f>G371*(1-0)</f>
        <v>0</v>
      </c>
      <c r="AQ371" s="72" t="s">
        <v>219</v>
      </c>
      <c r="AV371" s="37">
        <f t="shared" si="484"/>
        <v>0</v>
      </c>
      <c r="AW371" s="37">
        <f t="shared" si="485"/>
        <v>0</v>
      </c>
      <c r="AX371" s="37">
        <f t="shared" si="486"/>
        <v>0</v>
      </c>
      <c r="AY371" s="72" t="s">
        <v>1190</v>
      </c>
      <c r="AZ371" s="72" t="s">
        <v>1143</v>
      </c>
      <c r="BA371" s="49" t="s">
        <v>226</v>
      </c>
      <c r="BC371" s="37">
        <f t="shared" si="487"/>
        <v>0</v>
      </c>
      <c r="BD371" s="37">
        <f t="shared" si="488"/>
        <v>0</v>
      </c>
      <c r="BE371" s="37">
        <v>0</v>
      </c>
      <c r="BF371" s="37">
        <f>371</f>
        <v>371</v>
      </c>
      <c r="BH371" s="37">
        <f t="shared" si="489"/>
        <v>0</v>
      </c>
      <c r="BI371" s="37">
        <f t="shared" si="490"/>
        <v>0</v>
      </c>
      <c r="BJ371" s="37">
        <f t="shared" si="491"/>
        <v>0</v>
      </c>
      <c r="BK371" s="37"/>
      <c r="BL371" s="37">
        <v>96</v>
      </c>
      <c r="BW371" s="37">
        <v>21</v>
      </c>
      <c r="BX371" s="3" t="s">
        <v>1202</v>
      </c>
    </row>
    <row r="372" spans="1:76" x14ac:dyDescent="0.25">
      <c r="A372" s="1" t="s">
        <v>1203</v>
      </c>
      <c r="B372" s="2" t="s">
        <v>1204</v>
      </c>
      <c r="C372" s="279" t="s">
        <v>1205</v>
      </c>
      <c r="D372" s="280"/>
      <c r="E372" s="2" t="s">
        <v>329</v>
      </c>
      <c r="F372" s="37">
        <v>1</v>
      </c>
      <c r="G372" s="78">
        <v>0</v>
      </c>
      <c r="H372" s="37">
        <f t="shared" si="470"/>
        <v>0</v>
      </c>
      <c r="I372" s="37">
        <f t="shared" si="471"/>
        <v>0</v>
      </c>
      <c r="J372" s="37">
        <f t="shared" si="472"/>
        <v>0</v>
      </c>
      <c r="K372" s="79" t="s">
        <v>223</v>
      </c>
      <c r="Z372" s="37">
        <f t="shared" si="473"/>
        <v>0</v>
      </c>
      <c r="AB372" s="37">
        <f t="shared" si="474"/>
        <v>0</v>
      </c>
      <c r="AC372" s="37">
        <f t="shared" si="475"/>
        <v>0</v>
      </c>
      <c r="AD372" s="37">
        <f t="shared" si="476"/>
        <v>0</v>
      </c>
      <c r="AE372" s="37">
        <f t="shared" si="477"/>
        <v>0</v>
      </c>
      <c r="AF372" s="37">
        <f t="shared" si="478"/>
        <v>0</v>
      </c>
      <c r="AG372" s="37">
        <f t="shared" si="479"/>
        <v>0</v>
      </c>
      <c r="AH372" s="37">
        <f t="shared" si="480"/>
        <v>0</v>
      </c>
      <c r="AI372" s="49" t="s">
        <v>89</v>
      </c>
      <c r="AJ372" s="37">
        <f t="shared" si="481"/>
        <v>0</v>
      </c>
      <c r="AK372" s="37">
        <f t="shared" si="482"/>
        <v>0</v>
      </c>
      <c r="AL372" s="37">
        <f t="shared" si="483"/>
        <v>0</v>
      </c>
      <c r="AN372" s="37">
        <v>21</v>
      </c>
      <c r="AO372" s="37">
        <f>G372*0</f>
        <v>0</v>
      </c>
      <c r="AP372" s="37">
        <f>G372*(1-0)</f>
        <v>0</v>
      </c>
      <c r="AQ372" s="72" t="s">
        <v>219</v>
      </c>
      <c r="AV372" s="37">
        <f t="shared" si="484"/>
        <v>0</v>
      </c>
      <c r="AW372" s="37">
        <f t="shared" si="485"/>
        <v>0</v>
      </c>
      <c r="AX372" s="37">
        <f t="shared" si="486"/>
        <v>0</v>
      </c>
      <c r="AY372" s="72" t="s">
        <v>1190</v>
      </c>
      <c r="AZ372" s="72" t="s">
        <v>1143</v>
      </c>
      <c r="BA372" s="49" t="s">
        <v>226</v>
      </c>
      <c r="BC372" s="37">
        <f t="shared" si="487"/>
        <v>0</v>
      </c>
      <c r="BD372" s="37">
        <f t="shared" si="488"/>
        <v>0</v>
      </c>
      <c r="BE372" s="37">
        <v>0</v>
      </c>
      <c r="BF372" s="37">
        <f>372</f>
        <v>372</v>
      </c>
      <c r="BH372" s="37">
        <f t="shared" si="489"/>
        <v>0</v>
      </c>
      <c r="BI372" s="37">
        <f t="shared" si="490"/>
        <v>0</v>
      </c>
      <c r="BJ372" s="37">
        <f t="shared" si="491"/>
        <v>0</v>
      </c>
      <c r="BK372" s="37"/>
      <c r="BL372" s="37">
        <v>96</v>
      </c>
      <c r="BW372" s="37">
        <v>21</v>
      </c>
      <c r="BX372" s="3" t="s">
        <v>1205</v>
      </c>
    </row>
    <row r="373" spans="1:76" x14ac:dyDescent="0.25">
      <c r="A373" s="1" t="s">
        <v>1206</v>
      </c>
      <c r="B373" s="2" t="s">
        <v>1207</v>
      </c>
      <c r="C373" s="279" t="s">
        <v>1208</v>
      </c>
      <c r="D373" s="280"/>
      <c r="E373" s="2" t="s">
        <v>249</v>
      </c>
      <c r="F373" s="37">
        <v>26.422000000000001</v>
      </c>
      <c r="G373" s="78">
        <v>0</v>
      </c>
      <c r="H373" s="37">
        <f t="shared" si="470"/>
        <v>0</v>
      </c>
      <c r="I373" s="37">
        <f t="shared" si="471"/>
        <v>0</v>
      </c>
      <c r="J373" s="37">
        <f t="shared" si="472"/>
        <v>0</v>
      </c>
      <c r="K373" s="79" t="s">
        <v>223</v>
      </c>
      <c r="Z373" s="37">
        <f t="shared" si="473"/>
        <v>0</v>
      </c>
      <c r="AB373" s="37">
        <f t="shared" si="474"/>
        <v>0</v>
      </c>
      <c r="AC373" s="37">
        <f t="shared" si="475"/>
        <v>0</v>
      </c>
      <c r="AD373" s="37">
        <f t="shared" si="476"/>
        <v>0</v>
      </c>
      <c r="AE373" s="37">
        <f t="shared" si="477"/>
        <v>0</v>
      </c>
      <c r="AF373" s="37">
        <f t="shared" si="478"/>
        <v>0</v>
      </c>
      <c r="AG373" s="37">
        <f t="shared" si="479"/>
        <v>0</v>
      </c>
      <c r="AH373" s="37">
        <f t="shared" si="480"/>
        <v>0</v>
      </c>
      <c r="AI373" s="49" t="s">
        <v>89</v>
      </c>
      <c r="AJ373" s="37">
        <f t="shared" si="481"/>
        <v>0</v>
      </c>
      <c r="AK373" s="37">
        <f t="shared" si="482"/>
        <v>0</v>
      </c>
      <c r="AL373" s="37">
        <f t="shared" si="483"/>
        <v>0</v>
      </c>
      <c r="AN373" s="37">
        <v>21</v>
      </c>
      <c r="AO373" s="37">
        <f>G373*0.117020609</f>
        <v>0</v>
      </c>
      <c r="AP373" s="37">
        <f>G373*(1-0.117020609)</f>
        <v>0</v>
      </c>
      <c r="AQ373" s="72" t="s">
        <v>219</v>
      </c>
      <c r="AV373" s="37">
        <f t="shared" si="484"/>
        <v>0</v>
      </c>
      <c r="AW373" s="37">
        <f t="shared" si="485"/>
        <v>0</v>
      </c>
      <c r="AX373" s="37">
        <f t="shared" si="486"/>
        <v>0</v>
      </c>
      <c r="AY373" s="72" t="s">
        <v>1190</v>
      </c>
      <c r="AZ373" s="72" t="s">
        <v>1143</v>
      </c>
      <c r="BA373" s="49" t="s">
        <v>226</v>
      </c>
      <c r="BC373" s="37">
        <f t="shared" si="487"/>
        <v>0</v>
      </c>
      <c r="BD373" s="37">
        <f t="shared" si="488"/>
        <v>0</v>
      </c>
      <c r="BE373" s="37">
        <v>0</v>
      </c>
      <c r="BF373" s="37">
        <f>373</f>
        <v>373</v>
      </c>
      <c r="BH373" s="37">
        <f t="shared" si="489"/>
        <v>0</v>
      </c>
      <c r="BI373" s="37">
        <f t="shared" si="490"/>
        <v>0</v>
      </c>
      <c r="BJ373" s="37">
        <f t="shared" si="491"/>
        <v>0</v>
      </c>
      <c r="BK373" s="37"/>
      <c r="BL373" s="37">
        <v>96</v>
      </c>
      <c r="BW373" s="37">
        <v>21</v>
      </c>
      <c r="BX373" s="3" t="s">
        <v>1208</v>
      </c>
    </row>
    <row r="374" spans="1:76" x14ac:dyDescent="0.25">
      <c r="A374" s="1" t="s">
        <v>1209</v>
      </c>
      <c r="B374" s="2" t="s">
        <v>1210</v>
      </c>
      <c r="C374" s="279" t="s">
        <v>1211</v>
      </c>
      <c r="D374" s="280"/>
      <c r="E374" s="2" t="s">
        <v>249</v>
      </c>
      <c r="F374" s="37">
        <v>154.94</v>
      </c>
      <c r="G374" s="78">
        <v>0</v>
      </c>
      <c r="H374" s="37">
        <f t="shared" si="470"/>
        <v>0</v>
      </c>
      <c r="I374" s="37">
        <f t="shared" si="471"/>
        <v>0</v>
      </c>
      <c r="J374" s="37">
        <f t="shared" si="472"/>
        <v>0</v>
      </c>
      <c r="K374" s="79" t="s">
        <v>334</v>
      </c>
      <c r="Z374" s="37">
        <f t="shared" si="473"/>
        <v>0</v>
      </c>
      <c r="AB374" s="37">
        <f t="shared" si="474"/>
        <v>0</v>
      </c>
      <c r="AC374" s="37">
        <f t="shared" si="475"/>
        <v>0</v>
      </c>
      <c r="AD374" s="37">
        <f t="shared" si="476"/>
        <v>0</v>
      </c>
      <c r="AE374" s="37">
        <f t="shared" si="477"/>
        <v>0</v>
      </c>
      <c r="AF374" s="37">
        <f t="shared" si="478"/>
        <v>0</v>
      </c>
      <c r="AG374" s="37">
        <f t="shared" si="479"/>
        <v>0</v>
      </c>
      <c r="AH374" s="37">
        <f t="shared" si="480"/>
        <v>0</v>
      </c>
      <c r="AI374" s="49" t="s">
        <v>89</v>
      </c>
      <c r="AJ374" s="37">
        <f t="shared" si="481"/>
        <v>0</v>
      </c>
      <c r="AK374" s="37">
        <f t="shared" si="482"/>
        <v>0</v>
      </c>
      <c r="AL374" s="37">
        <f t="shared" si="483"/>
        <v>0</v>
      </c>
      <c r="AN374" s="37">
        <v>21</v>
      </c>
      <c r="AO374" s="37">
        <f>G374*0</f>
        <v>0</v>
      </c>
      <c r="AP374" s="37">
        <f>G374*(1-0)</f>
        <v>0</v>
      </c>
      <c r="AQ374" s="72" t="s">
        <v>219</v>
      </c>
      <c r="AV374" s="37">
        <f t="shared" si="484"/>
        <v>0</v>
      </c>
      <c r="AW374" s="37">
        <f t="shared" si="485"/>
        <v>0</v>
      </c>
      <c r="AX374" s="37">
        <f t="shared" si="486"/>
        <v>0</v>
      </c>
      <c r="AY374" s="72" t="s">
        <v>1190</v>
      </c>
      <c r="AZ374" s="72" t="s">
        <v>1143</v>
      </c>
      <c r="BA374" s="49" t="s">
        <v>226</v>
      </c>
      <c r="BC374" s="37">
        <f t="shared" si="487"/>
        <v>0</v>
      </c>
      <c r="BD374" s="37">
        <f t="shared" si="488"/>
        <v>0</v>
      </c>
      <c r="BE374" s="37">
        <v>0</v>
      </c>
      <c r="BF374" s="37">
        <f>374</f>
        <v>374</v>
      </c>
      <c r="BH374" s="37">
        <f t="shared" si="489"/>
        <v>0</v>
      </c>
      <c r="BI374" s="37">
        <f t="shared" si="490"/>
        <v>0</v>
      </c>
      <c r="BJ374" s="37">
        <f t="shared" si="491"/>
        <v>0</v>
      </c>
      <c r="BK374" s="37"/>
      <c r="BL374" s="37">
        <v>96</v>
      </c>
      <c r="BW374" s="37">
        <v>21</v>
      </c>
      <c r="BX374" s="3" t="s">
        <v>1211</v>
      </c>
    </row>
    <row r="375" spans="1:76" x14ac:dyDescent="0.25">
      <c r="A375" s="1" t="s">
        <v>1212</v>
      </c>
      <c r="B375" s="2" t="s">
        <v>1213</v>
      </c>
      <c r="C375" s="279" t="s">
        <v>1214</v>
      </c>
      <c r="D375" s="280"/>
      <c r="E375" s="2" t="s">
        <v>249</v>
      </c>
      <c r="F375" s="37">
        <v>66.040000000000006</v>
      </c>
      <c r="G375" s="78">
        <v>0</v>
      </c>
      <c r="H375" s="37">
        <f t="shared" si="470"/>
        <v>0</v>
      </c>
      <c r="I375" s="37">
        <f t="shared" si="471"/>
        <v>0</v>
      </c>
      <c r="J375" s="37">
        <f t="shared" si="472"/>
        <v>0</v>
      </c>
      <c r="K375" s="79" t="s">
        <v>223</v>
      </c>
      <c r="Z375" s="37">
        <f t="shared" si="473"/>
        <v>0</v>
      </c>
      <c r="AB375" s="37">
        <f t="shared" si="474"/>
        <v>0</v>
      </c>
      <c r="AC375" s="37">
        <f t="shared" si="475"/>
        <v>0</v>
      </c>
      <c r="AD375" s="37">
        <f t="shared" si="476"/>
        <v>0</v>
      </c>
      <c r="AE375" s="37">
        <f t="shared" si="477"/>
        <v>0</v>
      </c>
      <c r="AF375" s="37">
        <f t="shared" si="478"/>
        <v>0</v>
      </c>
      <c r="AG375" s="37">
        <f t="shared" si="479"/>
        <v>0</v>
      </c>
      <c r="AH375" s="37">
        <f t="shared" si="480"/>
        <v>0</v>
      </c>
      <c r="AI375" s="49" t="s">
        <v>89</v>
      </c>
      <c r="AJ375" s="37">
        <f t="shared" si="481"/>
        <v>0</v>
      </c>
      <c r="AK375" s="37">
        <f t="shared" si="482"/>
        <v>0</v>
      </c>
      <c r="AL375" s="37">
        <f t="shared" si="483"/>
        <v>0</v>
      </c>
      <c r="AN375" s="37">
        <v>21</v>
      </c>
      <c r="AO375" s="37">
        <f>G375*0</f>
        <v>0</v>
      </c>
      <c r="AP375" s="37">
        <f>G375*(1-0)</f>
        <v>0</v>
      </c>
      <c r="AQ375" s="72" t="s">
        <v>219</v>
      </c>
      <c r="AV375" s="37">
        <f t="shared" si="484"/>
        <v>0</v>
      </c>
      <c r="AW375" s="37">
        <f t="shared" si="485"/>
        <v>0</v>
      </c>
      <c r="AX375" s="37">
        <f t="shared" si="486"/>
        <v>0</v>
      </c>
      <c r="AY375" s="72" t="s">
        <v>1190</v>
      </c>
      <c r="AZ375" s="72" t="s">
        <v>1143</v>
      </c>
      <c r="BA375" s="49" t="s">
        <v>226</v>
      </c>
      <c r="BC375" s="37">
        <f t="shared" si="487"/>
        <v>0</v>
      </c>
      <c r="BD375" s="37">
        <f t="shared" si="488"/>
        <v>0</v>
      </c>
      <c r="BE375" s="37">
        <v>0</v>
      </c>
      <c r="BF375" s="37">
        <f>375</f>
        <v>375</v>
      </c>
      <c r="BH375" s="37">
        <f t="shared" si="489"/>
        <v>0</v>
      </c>
      <c r="BI375" s="37">
        <f t="shared" si="490"/>
        <v>0</v>
      </c>
      <c r="BJ375" s="37">
        <f t="shared" si="491"/>
        <v>0</v>
      </c>
      <c r="BK375" s="37"/>
      <c r="BL375" s="37">
        <v>96</v>
      </c>
      <c r="BW375" s="37">
        <v>21</v>
      </c>
      <c r="BX375" s="3" t="s">
        <v>1214</v>
      </c>
    </row>
    <row r="376" spans="1:76" x14ac:dyDescent="0.25">
      <c r="A376" s="1" t="s">
        <v>1215</v>
      </c>
      <c r="B376" s="2" t="s">
        <v>1216</v>
      </c>
      <c r="C376" s="279" t="s">
        <v>1217</v>
      </c>
      <c r="D376" s="280"/>
      <c r="E376" s="2" t="s">
        <v>296</v>
      </c>
      <c r="F376" s="37">
        <v>9.1893200000000004</v>
      </c>
      <c r="G376" s="78">
        <v>0</v>
      </c>
      <c r="H376" s="37">
        <f t="shared" si="470"/>
        <v>0</v>
      </c>
      <c r="I376" s="37">
        <f t="shared" si="471"/>
        <v>0</v>
      </c>
      <c r="J376" s="37">
        <f t="shared" si="472"/>
        <v>0</v>
      </c>
      <c r="K376" s="79" t="s">
        <v>223</v>
      </c>
      <c r="Z376" s="37">
        <f t="shared" si="473"/>
        <v>0</v>
      </c>
      <c r="AB376" s="37">
        <f t="shared" si="474"/>
        <v>0</v>
      </c>
      <c r="AC376" s="37">
        <f t="shared" si="475"/>
        <v>0</v>
      </c>
      <c r="AD376" s="37">
        <f t="shared" si="476"/>
        <v>0</v>
      </c>
      <c r="AE376" s="37">
        <f t="shared" si="477"/>
        <v>0</v>
      </c>
      <c r="AF376" s="37">
        <f t="shared" si="478"/>
        <v>0</v>
      </c>
      <c r="AG376" s="37">
        <f t="shared" si="479"/>
        <v>0</v>
      </c>
      <c r="AH376" s="37">
        <f t="shared" si="480"/>
        <v>0</v>
      </c>
      <c r="AI376" s="49" t="s">
        <v>89</v>
      </c>
      <c r="AJ376" s="37">
        <f t="shared" si="481"/>
        <v>0</v>
      </c>
      <c r="AK376" s="37">
        <f t="shared" si="482"/>
        <v>0</v>
      </c>
      <c r="AL376" s="37">
        <f t="shared" si="483"/>
        <v>0</v>
      </c>
      <c r="AN376" s="37">
        <v>21</v>
      </c>
      <c r="AO376" s="37">
        <f>G376*0</f>
        <v>0</v>
      </c>
      <c r="AP376" s="37">
        <f>G376*(1-0)</f>
        <v>0</v>
      </c>
      <c r="AQ376" s="72" t="s">
        <v>237</v>
      </c>
      <c r="AV376" s="37">
        <f t="shared" si="484"/>
        <v>0</v>
      </c>
      <c r="AW376" s="37">
        <f t="shared" si="485"/>
        <v>0</v>
      </c>
      <c r="AX376" s="37">
        <f t="shared" si="486"/>
        <v>0</v>
      </c>
      <c r="AY376" s="72" t="s">
        <v>1190</v>
      </c>
      <c r="AZ376" s="72" t="s">
        <v>1143</v>
      </c>
      <c r="BA376" s="49" t="s">
        <v>226</v>
      </c>
      <c r="BC376" s="37">
        <f t="shared" si="487"/>
        <v>0</v>
      </c>
      <c r="BD376" s="37">
        <f t="shared" si="488"/>
        <v>0</v>
      </c>
      <c r="BE376" s="37">
        <v>0</v>
      </c>
      <c r="BF376" s="37">
        <f>376</f>
        <v>376</v>
      </c>
      <c r="BH376" s="37">
        <f t="shared" si="489"/>
        <v>0</v>
      </c>
      <c r="BI376" s="37">
        <f t="shared" si="490"/>
        <v>0</v>
      </c>
      <c r="BJ376" s="37">
        <f t="shared" si="491"/>
        <v>0</v>
      </c>
      <c r="BK376" s="37"/>
      <c r="BL376" s="37">
        <v>96</v>
      </c>
      <c r="BW376" s="37">
        <v>21</v>
      </c>
      <c r="BX376" s="3" t="s">
        <v>1217</v>
      </c>
    </row>
    <row r="377" spans="1:76" x14ac:dyDescent="0.25">
      <c r="A377" s="1" t="s">
        <v>1218</v>
      </c>
      <c r="B377" s="2" t="s">
        <v>1219</v>
      </c>
      <c r="C377" s="279" t="s">
        <v>1220</v>
      </c>
      <c r="D377" s="280"/>
      <c r="E377" s="2" t="s">
        <v>249</v>
      </c>
      <c r="F377" s="37">
        <v>4.4000000000000004</v>
      </c>
      <c r="G377" s="78">
        <v>0</v>
      </c>
      <c r="H377" s="37">
        <f t="shared" si="470"/>
        <v>0</v>
      </c>
      <c r="I377" s="37">
        <f t="shared" si="471"/>
        <v>0</v>
      </c>
      <c r="J377" s="37">
        <f t="shared" si="472"/>
        <v>0</v>
      </c>
      <c r="K377" s="79" t="s">
        <v>223</v>
      </c>
      <c r="Z377" s="37">
        <f t="shared" si="473"/>
        <v>0</v>
      </c>
      <c r="AB377" s="37">
        <f t="shared" si="474"/>
        <v>0</v>
      </c>
      <c r="AC377" s="37">
        <f t="shared" si="475"/>
        <v>0</v>
      </c>
      <c r="AD377" s="37">
        <f t="shared" si="476"/>
        <v>0</v>
      </c>
      <c r="AE377" s="37">
        <f t="shared" si="477"/>
        <v>0</v>
      </c>
      <c r="AF377" s="37">
        <f t="shared" si="478"/>
        <v>0</v>
      </c>
      <c r="AG377" s="37">
        <f t="shared" si="479"/>
        <v>0</v>
      </c>
      <c r="AH377" s="37">
        <f t="shared" si="480"/>
        <v>0</v>
      </c>
      <c r="AI377" s="49" t="s">
        <v>89</v>
      </c>
      <c r="AJ377" s="37">
        <f t="shared" si="481"/>
        <v>0</v>
      </c>
      <c r="AK377" s="37">
        <f t="shared" si="482"/>
        <v>0</v>
      </c>
      <c r="AL377" s="37">
        <f t="shared" si="483"/>
        <v>0</v>
      </c>
      <c r="AN377" s="37">
        <v>21</v>
      </c>
      <c r="AO377" s="37">
        <f>G377*0.073911007</f>
        <v>0</v>
      </c>
      <c r="AP377" s="37">
        <f>G377*(1-0.073911007)</f>
        <v>0</v>
      </c>
      <c r="AQ377" s="72" t="s">
        <v>219</v>
      </c>
      <c r="AV377" s="37">
        <f t="shared" si="484"/>
        <v>0</v>
      </c>
      <c r="AW377" s="37">
        <f t="shared" si="485"/>
        <v>0</v>
      </c>
      <c r="AX377" s="37">
        <f t="shared" si="486"/>
        <v>0</v>
      </c>
      <c r="AY377" s="72" t="s">
        <v>1190</v>
      </c>
      <c r="AZ377" s="72" t="s">
        <v>1143</v>
      </c>
      <c r="BA377" s="49" t="s">
        <v>226</v>
      </c>
      <c r="BC377" s="37">
        <f t="shared" si="487"/>
        <v>0</v>
      </c>
      <c r="BD377" s="37">
        <f t="shared" si="488"/>
        <v>0</v>
      </c>
      <c r="BE377" s="37">
        <v>0</v>
      </c>
      <c r="BF377" s="37">
        <f>377</f>
        <v>377</v>
      </c>
      <c r="BH377" s="37">
        <f t="shared" si="489"/>
        <v>0</v>
      </c>
      <c r="BI377" s="37">
        <f t="shared" si="490"/>
        <v>0</v>
      </c>
      <c r="BJ377" s="37">
        <f t="shared" si="491"/>
        <v>0</v>
      </c>
      <c r="BK377" s="37"/>
      <c r="BL377" s="37">
        <v>96</v>
      </c>
      <c r="BW377" s="37">
        <v>21</v>
      </c>
      <c r="BX377" s="3" t="s">
        <v>1220</v>
      </c>
    </row>
    <row r="378" spans="1:76" x14ac:dyDescent="0.25">
      <c r="A378" s="1" t="s">
        <v>1221</v>
      </c>
      <c r="B378" s="2" t="s">
        <v>1222</v>
      </c>
      <c r="C378" s="279" t="s">
        <v>1223</v>
      </c>
      <c r="D378" s="280"/>
      <c r="E378" s="2" t="s">
        <v>333</v>
      </c>
      <c r="F378" s="37">
        <v>12.8</v>
      </c>
      <c r="G378" s="78">
        <v>0</v>
      </c>
      <c r="H378" s="37">
        <f t="shared" si="470"/>
        <v>0</v>
      </c>
      <c r="I378" s="37">
        <f t="shared" si="471"/>
        <v>0</v>
      </c>
      <c r="J378" s="37">
        <f t="shared" si="472"/>
        <v>0</v>
      </c>
      <c r="K378" s="79" t="s">
        <v>223</v>
      </c>
      <c r="Z378" s="37">
        <f t="shared" si="473"/>
        <v>0</v>
      </c>
      <c r="AB378" s="37">
        <f t="shared" si="474"/>
        <v>0</v>
      </c>
      <c r="AC378" s="37">
        <f t="shared" si="475"/>
        <v>0</v>
      </c>
      <c r="AD378" s="37">
        <f t="shared" si="476"/>
        <v>0</v>
      </c>
      <c r="AE378" s="37">
        <f t="shared" si="477"/>
        <v>0</v>
      </c>
      <c r="AF378" s="37">
        <f t="shared" si="478"/>
        <v>0</v>
      </c>
      <c r="AG378" s="37">
        <f t="shared" si="479"/>
        <v>0</v>
      </c>
      <c r="AH378" s="37">
        <f t="shared" si="480"/>
        <v>0</v>
      </c>
      <c r="AI378" s="49" t="s">
        <v>89</v>
      </c>
      <c r="AJ378" s="37">
        <f t="shared" si="481"/>
        <v>0</v>
      </c>
      <c r="AK378" s="37">
        <f t="shared" si="482"/>
        <v>0</v>
      </c>
      <c r="AL378" s="37">
        <f t="shared" si="483"/>
        <v>0</v>
      </c>
      <c r="AN378" s="37">
        <v>21</v>
      </c>
      <c r="AO378" s="37">
        <f>G378*0</f>
        <v>0</v>
      </c>
      <c r="AP378" s="37">
        <f>G378*(1-0)</f>
        <v>0</v>
      </c>
      <c r="AQ378" s="72" t="s">
        <v>219</v>
      </c>
      <c r="AV378" s="37">
        <f t="shared" si="484"/>
        <v>0</v>
      </c>
      <c r="AW378" s="37">
        <f t="shared" si="485"/>
        <v>0</v>
      </c>
      <c r="AX378" s="37">
        <f t="shared" si="486"/>
        <v>0</v>
      </c>
      <c r="AY378" s="72" t="s">
        <v>1190</v>
      </c>
      <c r="AZ378" s="72" t="s">
        <v>1143</v>
      </c>
      <c r="BA378" s="49" t="s">
        <v>226</v>
      </c>
      <c r="BC378" s="37">
        <f t="shared" si="487"/>
        <v>0</v>
      </c>
      <c r="BD378" s="37">
        <f t="shared" si="488"/>
        <v>0</v>
      </c>
      <c r="BE378" s="37">
        <v>0</v>
      </c>
      <c r="BF378" s="37">
        <f>378</f>
        <v>378</v>
      </c>
      <c r="BH378" s="37">
        <f t="shared" si="489"/>
        <v>0</v>
      </c>
      <c r="BI378" s="37">
        <f t="shared" si="490"/>
        <v>0</v>
      </c>
      <c r="BJ378" s="37">
        <f t="shared" si="491"/>
        <v>0</v>
      </c>
      <c r="BK378" s="37"/>
      <c r="BL378" s="37">
        <v>96</v>
      </c>
      <c r="BW378" s="37">
        <v>21</v>
      </c>
      <c r="BX378" s="3" t="s">
        <v>1223</v>
      </c>
    </row>
    <row r="379" spans="1:76" x14ac:dyDescent="0.25">
      <c r="A379" s="1" t="s">
        <v>1224</v>
      </c>
      <c r="B379" s="2" t="s">
        <v>1225</v>
      </c>
      <c r="C379" s="279" t="s">
        <v>1226</v>
      </c>
      <c r="D379" s="280"/>
      <c r="E379" s="2" t="s">
        <v>222</v>
      </c>
      <c r="F379" s="37">
        <v>11.619</v>
      </c>
      <c r="G379" s="78">
        <v>0</v>
      </c>
      <c r="H379" s="37">
        <f t="shared" si="470"/>
        <v>0</v>
      </c>
      <c r="I379" s="37">
        <f t="shared" si="471"/>
        <v>0</v>
      </c>
      <c r="J379" s="37">
        <f t="shared" si="472"/>
        <v>0</v>
      </c>
      <c r="K379" s="79" t="s">
        <v>223</v>
      </c>
      <c r="Z379" s="37">
        <f t="shared" si="473"/>
        <v>0</v>
      </c>
      <c r="AB379" s="37">
        <f t="shared" si="474"/>
        <v>0</v>
      </c>
      <c r="AC379" s="37">
        <f t="shared" si="475"/>
        <v>0</v>
      </c>
      <c r="AD379" s="37">
        <f t="shared" si="476"/>
        <v>0</v>
      </c>
      <c r="AE379" s="37">
        <f t="shared" si="477"/>
        <v>0</v>
      </c>
      <c r="AF379" s="37">
        <f t="shared" si="478"/>
        <v>0</v>
      </c>
      <c r="AG379" s="37">
        <f t="shared" si="479"/>
        <v>0</v>
      </c>
      <c r="AH379" s="37">
        <f t="shared" si="480"/>
        <v>0</v>
      </c>
      <c r="AI379" s="49" t="s">
        <v>89</v>
      </c>
      <c r="AJ379" s="37">
        <f t="shared" si="481"/>
        <v>0</v>
      </c>
      <c r="AK379" s="37">
        <f t="shared" si="482"/>
        <v>0</v>
      </c>
      <c r="AL379" s="37">
        <f t="shared" si="483"/>
        <v>0</v>
      </c>
      <c r="AN379" s="37">
        <v>21</v>
      </c>
      <c r="AO379" s="37">
        <f>G379*0</f>
        <v>0</v>
      </c>
      <c r="AP379" s="37">
        <f>G379*(1-0)</f>
        <v>0</v>
      </c>
      <c r="AQ379" s="72" t="s">
        <v>219</v>
      </c>
      <c r="AV379" s="37">
        <f t="shared" si="484"/>
        <v>0</v>
      </c>
      <c r="AW379" s="37">
        <f t="shared" si="485"/>
        <v>0</v>
      </c>
      <c r="AX379" s="37">
        <f t="shared" si="486"/>
        <v>0</v>
      </c>
      <c r="AY379" s="72" t="s">
        <v>1190</v>
      </c>
      <c r="AZ379" s="72" t="s">
        <v>1143</v>
      </c>
      <c r="BA379" s="49" t="s">
        <v>226</v>
      </c>
      <c r="BC379" s="37">
        <f t="shared" si="487"/>
        <v>0</v>
      </c>
      <c r="BD379" s="37">
        <f t="shared" si="488"/>
        <v>0</v>
      </c>
      <c r="BE379" s="37">
        <v>0</v>
      </c>
      <c r="BF379" s="37">
        <f>379</f>
        <v>379</v>
      </c>
      <c r="BH379" s="37">
        <f t="shared" si="489"/>
        <v>0</v>
      </c>
      <c r="BI379" s="37">
        <f t="shared" si="490"/>
        <v>0</v>
      </c>
      <c r="BJ379" s="37">
        <f t="shared" si="491"/>
        <v>0</v>
      </c>
      <c r="BK379" s="37"/>
      <c r="BL379" s="37">
        <v>96</v>
      </c>
      <c r="BW379" s="37">
        <v>21</v>
      </c>
      <c r="BX379" s="3" t="s">
        <v>1226</v>
      </c>
    </row>
    <row r="380" spans="1:76" x14ac:dyDescent="0.25">
      <c r="A380" s="1" t="s">
        <v>1227</v>
      </c>
      <c r="B380" s="2" t="s">
        <v>1228</v>
      </c>
      <c r="C380" s="279" t="s">
        <v>1229</v>
      </c>
      <c r="D380" s="280"/>
      <c r="E380" s="2" t="s">
        <v>333</v>
      </c>
      <c r="F380" s="37">
        <v>0.9</v>
      </c>
      <c r="G380" s="78">
        <v>0</v>
      </c>
      <c r="H380" s="37">
        <f t="shared" si="470"/>
        <v>0</v>
      </c>
      <c r="I380" s="37">
        <f t="shared" si="471"/>
        <v>0</v>
      </c>
      <c r="J380" s="37">
        <f t="shared" si="472"/>
        <v>0</v>
      </c>
      <c r="K380" s="79" t="s">
        <v>236</v>
      </c>
      <c r="Z380" s="37">
        <f t="shared" si="473"/>
        <v>0</v>
      </c>
      <c r="AB380" s="37">
        <f t="shared" si="474"/>
        <v>0</v>
      </c>
      <c r="AC380" s="37">
        <f t="shared" si="475"/>
        <v>0</v>
      </c>
      <c r="AD380" s="37">
        <f t="shared" si="476"/>
        <v>0</v>
      </c>
      <c r="AE380" s="37">
        <f t="shared" si="477"/>
        <v>0</v>
      </c>
      <c r="AF380" s="37">
        <f t="shared" si="478"/>
        <v>0</v>
      </c>
      <c r="AG380" s="37">
        <f t="shared" si="479"/>
        <v>0</v>
      </c>
      <c r="AH380" s="37">
        <f t="shared" si="480"/>
        <v>0</v>
      </c>
      <c r="AI380" s="49" t="s">
        <v>89</v>
      </c>
      <c r="AJ380" s="37">
        <f t="shared" si="481"/>
        <v>0</v>
      </c>
      <c r="AK380" s="37">
        <f t="shared" si="482"/>
        <v>0</v>
      </c>
      <c r="AL380" s="37">
        <f t="shared" si="483"/>
        <v>0</v>
      </c>
      <c r="AN380" s="37">
        <v>21</v>
      </c>
      <c r="AO380" s="37">
        <f>G380*0.274590062</f>
        <v>0</v>
      </c>
      <c r="AP380" s="37">
        <f>G380*(1-0.274590062)</f>
        <v>0</v>
      </c>
      <c r="AQ380" s="72" t="s">
        <v>219</v>
      </c>
      <c r="AV380" s="37">
        <f t="shared" si="484"/>
        <v>0</v>
      </c>
      <c r="AW380" s="37">
        <f t="shared" si="485"/>
        <v>0</v>
      </c>
      <c r="AX380" s="37">
        <f t="shared" si="486"/>
        <v>0</v>
      </c>
      <c r="AY380" s="72" t="s">
        <v>1190</v>
      </c>
      <c r="AZ380" s="72" t="s">
        <v>1143</v>
      </c>
      <c r="BA380" s="49" t="s">
        <v>226</v>
      </c>
      <c r="BC380" s="37">
        <f t="shared" si="487"/>
        <v>0</v>
      </c>
      <c r="BD380" s="37">
        <f t="shared" si="488"/>
        <v>0</v>
      </c>
      <c r="BE380" s="37">
        <v>0</v>
      </c>
      <c r="BF380" s="37">
        <f>380</f>
        <v>380</v>
      </c>
      <c r="BH380" s="37">
        <f t="shared" si="489"/>
        <v>0</v>
      </c>
      <c r="BI380" s="37">
        <f t="shared" si="490"/>
        <v>0</v>
      </c>
      <c r="BJ380" s="37">
        <f t="shared" si="491"/>
        <v>0</v>
      </c>
      <c r="BK380" s="37"/>
      <c r="BL380" s="37">
        <v>96</v>
      </c>
      <c r="BW380" s="37">
        <v>21</v>
      </c>
      <c r="BX380" s="3" t="s">
        <v>1229</v>
      </c>
    </row>
    <row r="381" spans="1:76" x14ac:dyDescent="0.25">
      <c r="A381" s="1" t="s">
        <v>1230</v>
      </c>
      <c r="B381" s="2" t="s">
        <v>1231</v>
      </c>
      <c r="C381" s="279" t="s">
        <v>1232</v>
      </c>
      <c r="D381" s="280"/>
      <c r="E381" s="2" t="s">
        <v>329</v>
      </c>
      <c r="F381" s="37">
        <v>2</v>
      </c>
      <c r="G381" s="78">
        <v>0</v>
      </c>
      <c r="H381" s="37">
        <f t="shared" si="470"/>
        <v>0</v>
      </c>
      <c r="I381" s="37">
        <f t="shared" si="471"/>
        <v>0</v>
      </c>
      <c r="J381" s="37">
        <f t="shared" si="472"/>
        <v>0</v>
      </c>
      <c r="K381" s="79" t="s">
        <v>334</v>
      </c>
      <c r="Z381" s="37">
        <f t="shared" si="473"/>
        <v>0</v>
      </c>
      <c r="AB381" s="37">
        <f t="shared" si="474"/>
        <v>0</v>
      </c>
      <c r="AC381" s="37">
        <f t="shared" si="475"/>
        <v>0</v>
      </c>
      <c r="AD381" s="37">
        <f t="shared" si="476"/>
        <v>0</v>
      </c>
      <c r="AE381" s="37">
        <f t="shared" si="477"/>
        <v>0</v>
      </c>
      <c r="AF381" s="37">
        <f t="shared" si="478"/>
        <v>0</v>
      </c>
      <c r="AG381" s="37">
        <f t="shared" si="479"/>
        <v>0</v>
      </c>
      <c r="AH381" s="37">
        <f t="shared" si="480"/>
        <v>0</v>
      </c>
      <c r="AI381" s="49" t="s">
        <v>89</v>
      </c>
      <c r="AJ381" s="37">
        <f t="shared" si="481"/>
        <v>0</v>
      </c>
      <c r="AK381" s="37">
        <f t="shared" si="482"/>
        <v>0</v>
      </c>
      <c r="AL381" s="37">
        <f t="shared" si="483"/>
        <v>0</v>
      </c>
      <c r="AN381" s="37">
        <v>21</v>
      </c>
      <c r="AO381" s="37">
        <f>G381*0</f>
        <v>0</v>
      </c>
      <c r="AP381" s="37">
        <f>G381*(1-0)</f>
        <v>0</v>
      </c>
      <c r="AQ381" s="72" t="s">
        <v>219</v>
      </c>
      <c r="AV381" s="37">
        <f t="shared" si="484"/>
        <v>0</v>
      </c>
      <c r="AW381" s="37">
        <f t="shared" si="485"/>
        <v>0</v>
      </c>
      <c r="AX381" s="37">
        <f t="shared" si="486"/>
        <v>0</v>
      </c>
      <c r="AY381" s="72" t="s">
        <v>1190</v>
      </c>
      <c r="AZ381" s="72" t="s">
        <v>1143</v>
      </c>
      <c r="BA381" s="49" t="s">
        <v>226</v>
      </c>
      <c r="BC381" s="37">
        <f t="shared" si="487"/>
        <v>0</v>
      </c>
      <c r="BD381" s="37">
        <f t="shared" si="488"/>
        <v>0</v>
      </c>
      <c r="BE381" s="37">
        <v>0</v>
      </c>
      <c r="BF381" s="37">
        <f>381</f>
        <v>381</v>
      </c>
      <c r="BH381" s="37">
        <f t="shared" si="489"/>
        <v>0</v>
      </c>
      <c r="BI381" s="37">
        <f t="shared" si="490"/>
        <v>0</v>
      </c>
      <c r="BJ381" s="37">
        <f t="shared" si="491"/>
        <v>0</v>
      </c>
      <c r="BK381" s="37"/>
      <c r="BL381" s="37">
        <v>96</v>
      </c>
      <c r="BW381" s="37">
        <v>21</v>
      </c>
      <c r="BX381" s="3" t="s">
        <v>1232</v>
      </c>
    </row>
    <row r="382" spans="1:76" x14ac:dyDescent="0.25">
      <c r="A382" s="1" t="s">
        <v>1233</v>
      </c>
      <c r="B382" s="2" t="s">
        <v>1234</v>
      </c>
      <c r="C382" s="279" t="s">
        <v>1235</v>
      </c>
      <c r="D382" s="280"/>
      <c r="E382" s="2" t="s">
        <v>296</v>
      </c>
      <c r="F382" s="37">
        <v>27.734680000000001</v>
      </c>
      <c r="G382" s="78">
        <v>0</v>
      </c>
      <c r="H382" s="37">
        <f t="shared" si="470"/>
        <v>0</v>
      </c>
      <c r="I382" s="37">
        <f t="shared" si="471"/>
        <v>0</v>
      </c>
      <c r="J382" s="37">
        <f t="shared" si="472"/>
        <v>0</v>
      </c>
      <c r="K382" s="79" t="s">
        <v>223</v>
      </c>
      <c r="Z382" s="37">
        <f t="shared" si="473"/>
        <v>0</v>
      </c>
      <c r="AB382" s="37">
        <f t="shared" si="474"/>
        <v>0</v>
      </c>
      <c r="AC382" s="37">
        <f t="shared" si="475"/>
        <v>0</v>
      </c>
      <c r="AD382" s="37">
        <f t="shared" si="476"/>
        <v>0</v>
      </c>
      <c r="AE382" s="37">
        <f t="shared" si="477"/>
        <v>0</v>
      </c>
      <c r="AF382" s="37">
        <f t="shared" si="478"/>
        <v>0</v>
      </c>
      <c r="AG382" s="37">
        <f t="shared" si="479"/>
        <v>0</v>
      </c>
      <c r="AH382" s="37">
        <f t="shared" si="480"/>
        <v>0</v>
      </c>
      <c r="AI382" s="49" t="s">
        <v>89</v>
      </c>
      <c r="AJ382" s="37">
        <f t="shared" si="481"/>
        <v>0</v>
      </c>
      <c r="AK382" s="37">
        <f t="shared" si="482"/>
        <v>0</v>
      </c>
      <c r="AL382" s="37">
        <f t="shared" si="483"/>
        <v>0</v>
      </c>
      <c r="AN382" s="37">
        <v>21</v>
      </c>
      <c r="AO382" s="37">
        <f>G382*0</f>
        <v>0</v>
      </c>
      <c r="AP382" s="37">
        <f>G382*(1-0)</f>
        <v>0</v>
      </c>
      <c r="AQ382" s="72" t="s">
        <v>237</v>
      </c>
      <c r="AV382" s="37">
        <f t="shared" si="484"/>
        <v>0</v>
      </c>
      <c r="AW382" s="37">
        <f t="shared" si="485"/>
        <v>0</v>
      </c>
      <c r="AX382" s="37">
        <f t="shared" si="486"/>
        <v>0</v>
      </c>
      <c r="AY382" s="72" t="s">
        <v>1190</v>
      </c>
      <c r="AZ382" s="72" t="s">
        <v>1143</v>
      </c>
      <c r="BA382" s="49" t="s">
        <v>226</v>
      </c>
      <c r="BC382" s="37">
        <f t="shared" si="487"/>
        <v>0</v>
      </c>
      <c r="BD382" s="37">
        <f t="shared" si="488"/>
        <v>0</v>
      </c>
      <c r="BE382" s="37">
        <v>0</v>
      </c>
      <c r="BF382" s="37">
        <f>382</f>
        <v>382</v>
      </c>
      <c r="BH382" s="37">
        <f t="shared" si="489"/>
        <v>0</v>
      </c>
      <c r="BI382" s="37">
        <f t="shared" si="490"/>
        <v>0</v>
      </c>
      <c r="BJ382" s="37">
        <f t="shared" si="491"/>
        <v>0</v>
      </c>
      <c r="BK382" s="37"/>
      <c r="BL382" s="37">
        <v>96</v>
      </c>
      <c r="BW382" s="37">
        <v>21</v>
      </c>
      <c r="BX382" s="3" t="s">
        <v>1235</v>
      </c>
    </row>
    <row r="383" spans="1:76" x14ac:dyDescent="0.25">
      <c r="A383" s="1" t="s">
        <v>1236</v>
      </c>
      <c r="B383" s="2" t="s">
        <v>1237</v>
      </c>
      <c r="C383" s="279" t="s">
        <v>1238</v>
      </c>
      <c r="D383" s="280"/>
      <c r="E383" s="2" t="s">
        <v>249</v>
      </c>
      <c r="F383" s="37">
        <v>4.2107999999999999</v>
      </c>
      <c r="G383" s="78">
        <v>0</v>
      </c>
      <c r="H383" s="37">
        <f t="shared" si="470"/>
        <v>0</v>
      </c>
      <c r="I383" s="37">
        <f t="shared" si="471"/>
        <v>0</v>
      </c>
      <c r="J383" s="37">
        <f t="shared" si="472"/>
        <v>0</v>
      </c>
      <c r="K383" s="79" t="s">
        <v>223</v>
      </c>
      <c r="Z383" s="37">
        <f t="shared" si="473"/>
        <v>0</v>
      </c>
      <c r="AB383" s="37">
        <f t="shared" si="474"/>
        <v>0</v>
      </c>
      <c r="AC383" s="37">
        <f t="shared" si="475"/>
        <v>0</v>
      </c>
      <c r="AD383" s="37">
        <f t="shared" si="476"/>
        <v>0</v>
      </c>
      <c r="AE383" s="37">
        <f t="shared" si="477"/>
        <v>0</v>
      </c>
      <c r="AF383" s="37">
        <f t="shared" si="478"/>
        <v>0</v>
      </c>
      <c r="AG383" s="37">
        <f t="shared" si="479"/>
        <v>0</v>
      </c>
      <c r="AH383" s="37">
        <f t="shared" si="480"/>
        <v>0</v>
      </c>
      <c r="AI383" s="49" t="s">
        <v>89</v>
      </c>
      <c r="AJ383" s="37">
        <f t="shared" si="481"/>
        <v>0</v>
      </c>
      <c r="AK383" s="37">
        <f t="shared" si="482"/>
        <v>0</v>
      </c>
      <c r="AL383" s="37">
        <f t="shared" si="483"/>
        <v>0</v>
      </c>
      <c r="AN383" s="37">
        <v>21</v>
      </c>
      <c r="AO383" s="37">
        <f>G383*0.133081499</f>
        <v>0</v>
      </c>
      <c r="AP383" s="37">
        <f>G383*(1-0.133081499)</f>
        <v>0</v>
      </c>
      <c r="AQ383" s="72" t="s">
        <v>219</v>
      </c>
      <c r="AV383" s="37">
        <f t="shared" si="484"/>
        <v>0</v>
      </c>
      <c r="AW383" s="37">
        <f t="shared" si="485"/>
        <v>0</v>
      </c>
      <c r="AX383" s="37">
        <f t="shared" si="486"/>
        <v>0</v>
      </c>
      <c r="AY383" s="72" t="s">
        <v>1190</v>
      </c>
      <c r="AZ383" s="72" t="s">
        <v>1143</v>
      </c>
      <c r="BA383" s="49" t="s">
        <v>226</v>
      </c>
      <c r="BC383" s="37">
        <f t="shared" si="487"/>
        <v>0</v>
      </c>
      <c r="BD383" s="37">
        <f t="shared" si="488"/>
        <v>0</v>
      </c>
      <c r="BE383" s="37">
        <v>0</v>
      </c>
      <c r="BF383" s="37">
        <f>383</f>
        <v>383</v>
      </c>
      <c r="BH383" s="37">
        <f t="shared" si="489"/>
        <v>0</v>
      </c>
      <c r="BI383" s="37">
        <f t="shared" si="490"/>
        <v>0</v>
      </c>
      <c r="BJ383" s="37">
        <f t="shared" si="491"/>
        <v>0</v>
      </c>
      <c r="BK383" s="37"/>
      <c r="BL383" s="37">
        <v>96</v>
      </c>
      <c r="BW383" s="37">
        <v>21</v>
      </c>
      <c r="BX383" s="3" t="s">
        <v>1238</v>
      </c>
    </row>
    <row r="384" spans="1:76" x14ac:dyDescent="0.25">
      <c r="A384" s="1" t="s">
        <v>1239</v>
      </c>
      <c r="B384" s="2" t="s">
        <v>1240</v>
      </c>
      <c r="C384" s="279" t="s">
        <v>1241</v>
      </c>
      <c r="D384" s="280"/>
      <c r="E384" s="2" t="s">
        <v>249</v>
      </c>
      <c r="F384" s="37">
        <v>72.603099999999998</v>
      </c>
      <c r="G384" s="78">
        <v>0</v>
      </c>
      <c r="H384" s="37">
        <f t="shared" si="470"/>
        <v>0</v>
      </c>
      <c r="I384" s="37">
        <f t="shared" si="471"/>
        <v>0</v>
      </c>
      <c r="J384" s="37">
        <f t="shared" si="472"/>
        <v>0</v>
      </c>
      <c r="K384" s="79" t="s">
        <v>223</v>
      </c>
      <c r="Z384" s="37">
        <f t="shared" si="473"/>
        <v>0</v>
      </c>
      <c r="AB384" s="37">
        <f t="shared" si="474"/>
        <v>0</v>
      </c>
      <c r="AC384" s="37">
        <f t="shared" si="475"/>
        <v>0</v>
      </c>
      <c r="AD384" s="37">
        <f t="shared" si="476"/>
        <v>0</v>
      </c>
      <c r="AE384" s="37">
        <f t="shared" si="477"/>
        <v>0</v>
      </c>
      <c r="AF384" s="37">
        <f t="shared" si="478"/>
        <v>0</v>
      </c>
      <c r="AG384" s="37">
        <f t="shared" si="479"/>
        <v>0</v>
      </c>
      <c r="AH384" s="37">
        <f t="shared" si="480"/>
        <v>0</v>
      </c>
      <c r="AI384" s="49" t="s">
        <v>89</v>
      </c>
      <c r="AJ384" s="37">
        <f t="shared" si="481"/>
        <v>0</v>
      </c>
      <c r="AK384" s="37">
        <f t="shared" si="482"/>
        <v>0</v>
      </c>
      <c r="AL384" s="37">
        <f t="shared" si="483"/>
        <v>0</v>
      </c>
      <c r="AN384" s="37">
        <v>21</v>
      </c>
      <c r="AO384" s="37">
        <f>G384*0.099127621</f>
        <v>0</v>
      </c>
      <c r="AP384" s="37">
        <f>G384*(1-0.099127621)</f>
        <v>0</v>
      </c>
      <c r="AQ384" s="72" t="s">
        <v>219</v>
      </c>
      <c r="AV384" s="37">
        <f t="shared" si="484"/>
        <v>0</v>
      </c>
      <c r="AW384" s="37">
        <f t="shared" si="485"/>
        <v>0</v>
      </c>
      <c r="AX384" s="37">
        <f t="shared" si="486"/>
        <v>0</v>
      </c>
      <c r="AY384" s="72" t="s">
        <v>1190</v>
      </c>
      <c r="AZ384" s="72" t="s">
        <v>1143</v>
      </c>
      <c r="BA384" s="49" t="s">
        <v>226</v>
      </c>
      <c r="BC384" s="37">
        <f t="shared" si="487"/>
        <v>0</v>
      </c>
      <c r="BD384" s="37">
        <f t="shared" si="488"/>
        <v>0</v>
      </c>
      <c r="BE384" s="37">
        <v>0</v>
      </c>
      <c r="BF384" s="37">
        <f>384</f>
        <v>384</v>
      </c>
      <c r="BH384" s="37">
        <f t="shared" si="489"/>
        <v>0</v>
      </c>
      <c r="BI384" s="37">
        <f t="shared" si="490"/>
        <v>0</v>
      </c>
      <c r="BJ384" s="37">
        <f t="shared" si="491"/>
        <v>0</v>
      </c>
      <c r="BK384" s="37"/>
      <c r="BL384" s="37">
        <v>96</v>
      </c>
      <c r="BW384" s="37">
        <v>21</v>
      </c>
      <c r="BX384" s="3" t="s">
        <v>1241</v>
      </c>
    </row>
    <row r="385" spans="1:76" x14ac:dyDescent="0.25">
      <c r="A385" s="1" t="s">
        <v>1242</v>
      </c>
      <c r="B385" s="2" t="s">
        <v>1243</v>
      </c>
      <c r="C385" s="279" t="s">
        <v>1244</v>
      </c>
      <c r="D385" s="280"/>
      <c r="E385" s="2" t="s">
        <v>222</v>
      </c>
      <c r="F385" s="37">
        <v>6.5132500000000002</v>
      </c>
      <c r="G385" s="78">
        <v>0</v>
      </c>
      <c r="H385" s="37">
        <f t="shared" si="470"/>
        <v>0</v>
      </c>
      <c r="I385" s="37">
        <f t="shared" si="471"/>
        <v>0</v>
      </c>
      <c r="J385" s="37">
        <f t="shared" si="472"/>
        <v>0</v>
      </c>
      <c r="K385" s="79" t="s">
        <v>223</v>
      </c>
      <c r="Z385" s="37">
        <f t="shared" si="473"/>
        <v>0</v>
      </c>
      <c r="AB385" s="37">
        <f t="shared" si="474"/>
        <v>0</v>
      </c>
      <c r="AC385" s="37">
        <f t="shared" si="475"/>
        <v>0</v>
      </c>
      <c r="AD385" s="37">
        <f t="shared" si="476"/>
        <v>0</v>
      </c>
      <c r="AE385" s="37">
        <f t="shared" si="477"/>
        <v>0</v>
      </c>
      <c r="AF385" s="37">
        <f t="shared" si="478"/>
        <v>0</v>
      </c>
      <c r="AG385" s="37">
        <f t="shared" si="479"/>
        <v>0</v>
      </c>
      <c r="AH385" s="37">
        <f t="shared" si="480"/>
        <v>0</v>
      </c>
      <c r="AI385" s="49" t="s">
        <v>89</v>
      </c>
      <c r="AJ385" s="37">
        <f t="shared" si="481"/>
        <v>0</v>
      </c>
      <c r="AK385" s="37">
        <f t="shared" si="482"/>
        <v>0</v>
      </c>
      <c r="AL385" s="37">
        <f t="shared" si="483"/>
        <v>0</v>
      </c>
      <c r="AN385" s="37">
        <v>21</v>
      </c>
      <c r="AO385" s="37">
        <f>G385*0.038602481</f>
        <v>0</v>
      </c>
      <c r="AP385" s="37">
        <f>G385*(1-0.038602481)</f>
        <v>0</v>
      </c>
      <c r="AQ385" s="72" t="s">
        <v>219</v>
      </c>
      <c r="AV385" s="37">
        <f t="shared" si="484"/>
        <v>0</v>
      </c>
      <c r="AW385" s="37">
        <f t="shared" si="485"/>
        <v>0</v>
      </c>
      <c r="AX385" s="37">
        <f t="shared" si="486"/>
        <v>0</v>
      </c>
      <c r="AY385" s="72" t="s">
        <v>1190</v>
      </c>
      <c r="AZ385" s="72" t="s">
        <v>1143</v>
      </c>
      <c r="BA385" s="49" t="s">
        <v>226</v>
      </c>
      <c r="BC385" s="37">
        <f t="shared" si="487"/>
        <v>0</v>
      </c>
      <c r="BD385" s="37">
        <f t="shared" si="488"/>
        <v>0</v>
      </c>
      <c r="BE385" s="37">
        <v>0</v>
      </c>
      <c r="BF385" s="37">
        <f>385</f>
        <v>385</v>
      </c>
      <c r="BH385" s="37">
        <f t="shared" si="489"/>
        <v>0</v>
      </c>
      <c r="BI385" s="37">
        <f t="shared" si="490"/>
        <v>0</v>
      </c>
      <c r="BJ385" s="37">
        <f t="shared" si="491"/>
        <v>0</v>
      </c>
      <c r="BK385" s="37"/>
      <c r="BL385" s="37">
        <v>96</v>
      </c>
      <c r="BW385" s="37">
        <v>21</v>
      </c>
      <c r="BX385" s="3" t="s">
        <v>1244</v>
      </c>
    </row>
    <row r="386" spans="1:76" x14ac:dyDescent="0.25">
      <c r="A386" s="1" t="s">
        <v>1245</v>
      </c>
      <c r="B386" s="2" t="s">
        <v>1246</v>
      </c>
      <c r="C386" s="279" t="s">
        <v>1247</v>
      </c>
      <c r="D386" s="280"/>
      <c r="E386" s="2" t="s">
        <v>333</v>
      </c>
      <c r="F386" s="37">
        <v>7.2</v>
      </c>
      <c r="G386" s="78">
        <v>0</v>
      </c>
      <c r="H386" s="37">
        <f t="shared" si="470"/>
        <v>0</v>
      </c>
      <c r="I386" s="37">
        <f t="shared" si="471"/>
        <v>0</v>
      </c>
      <c r="J386" s="37">
        <f t="shared" si="472"/>
        <v>0</v>
      </c>
      <c r="K386" s="79" t="s">
        <v>223</v>
      </c>
      <c r="Z386" s="37">
        <f t="shared" si="473"/>
        <v>0</v>
      </c>
      <c r="AB386" s="37">
        <f t="shared" si="474"/>
        <v>0</v>
      </c>
      <c r="AC386" s="37">
        <f t="shared" si="475"/>
        <v>0</v>
      </c>
      <c r="AD386" s="37">
        <f t="shared" si="476"/>
        <v>0</v>
      </c>
      <c r="AE386" s="37">
        <f t="shared" si="477"/>
        <v>0</v>
      </c>
      <c r="AF386" s="37">
        <f t="shared" si="478"/>
        <v>0</v>
      </c>
      <c r="AG386" s="37">
        <f t="shared" si="479"/>
        <v>0</v>
      </c>
      <c r="AH386" s="37">
        <f t="shared" si="480"/>
        <v>0</v>
      </c>
      <c r="AI386" s="49" t="s">
        <v>89</v>
      </c>
      <c r="AJ386" s="37">
        <f t="shared" si="481"/>
        <v>0</v>
      </c>
      <c r="AK386" s="37">
        <f t="shared" si="482"/>
        <v>0</v>
      </c>
      <c r="AL386" s="37">
        <f t="shared" si="483"/>
        <v>0</v>
      </c>
      <c r="AN386" s="37">
        <v>21</v>
      </c>
      <c r="AO386" s="37">
        <f>G386*0.076545807</f>
        <v>0</v>
      </c>
      <c r="AP386" s="37">
        <f>G386*(1-0.076545807)</f>
        <v>0</v>
      </c>
      <c r="AQ386" s="72" t="s">
        <v>219</v>
      </c>
      <c r="AV386" s="37">
        <f t="shared" si="484"/>
        <v>0</v>
      </c>
      <c r="AW386" s="37">
        <f t="shared" si="485"/>
        <v>0</v>
      </c>
      <c r="AX386" s="37">
        <f t="shared" si="486"/>
        <v>0</v>
      </c>
      <c r="AY386" s="72" t="s">
        <v>1190</v>
      </c>
      <c r="AZ386" s="72" t="s">
        <v>1143</v>
      </c>
      <c r="BA386" s="49" t="s">
        <v>226</v>
      </c>
      <c r="BC386" s="37">
        <f t="shared" si="487"/>
        <v>0</v>
      </c>
      <c r="BD386" s="37">
        <f t="shared" si="488"/>
        <v>0</v>
      </c>
      <c r="BE386" s="37">
        <v>0</v>
      </c>
      <c r="BF386" s="37">
        <f>386</f>
        <v>386</v>
      </c>
      <c r="BH386" s="37">
        <f t="shared" si="489"/>
        <v>0</v>
      </c>
      <c r="BI386" s="37">
        <f t="shared" si="490"/>
        <v>0</v>
      </c>
      <c r="BJ386" s="37">
        <f t="shared" si="491"/>
        <v>0</v>
      </c>
      <c r="BK386" s="37"/>
      <c r="BL386" s="37">
        <v>96</v>
      </c>
      <c r="BW386" s="37">
        <v>21</v>
      </c>
      <c r="BX386" s="3" t="s">
        <v>1247</v>
      </c>
    </row>
    <row r="387" spans="1:76" x14ac:dyDescent="0.25">
      <c r="A387" s="1" t="s">
        <v>1248</v>
      </c>
      <c r="B387" s="2" t="s">
        <v>1249</v>
      </c>
      <c r="C387" s="279" t="s">
        <v>1250</v>
      </c>
      <c r="D387" s="280"/>
      <c r="E387" s="2" t="s">
        <v>296</v>
      </c>
      <c r="F387" s="37">
        <v>35.851930000000003</v>
      </c>
      <c r="G387" s="78">
        <v>0</v>
      </c>
      <c r="H387" s="37">
        <f t="shared" si="470"/>
        <v>0</v>
      </c>
      <c r="I387" s="37">
        <f t="shared" si="471"/>
        <v>0</v>
      </c>
      <c r="J387" s="37">
        <f t="shared" si="472"/>
        <v>0</v>
      </c>
      <c r="K387" s="79" t="s">
        <v>223</v>
      </c>
      <c r="Z387" s="37">
        <f t="shared" si="473"/>
        <v>0</v>
      </c>
      <c r="AB387" s="37">
        <f t="shared" si="474"/>
        <v>0</v>
      </c>
      <c r="AC387" s="37">
        <f t="shared" si="475"/>
        <v>0</v>
      </c>
      <c r="AD387" s="37">
        <f t="shared" si="476"/>
        <v>0</v>
      </c>
      <c r="AE387" s="37">
        <f t="shared" si="477"/>
        <v>0</v>
      </c>
      <c r="AF387" s="37">
        <f t="shared" si="478"/>
        <v>0</v>
      </c>
      <c r="AG387" s="37">
        <f t="shared" si="479"/>
        <v>0</v>
      </c>
      <c r="AH387" s="37">
        <f t="shared" si="480"/>
        <v>0</v>
      </c>
      <c r="AI387" s="49" t="s">
        <v>89</v>
      </c>
      <c r="AJ387" s="37">
        <f t="shared" si="481"/>
        <v>0</v>
      </c>
      <c r="AK387" s="37">
        <f t="shared" si="482"/>
        <v>0</v>
      </c>
      <c r="AL387" s="37">
        <f t="shared" si="483"/>
        <v>0</v>
      </c>
      <c r="AN387" s="37">
        <v>21</v>
      </c>
      <c r="AO387" s="37">
        <f t="shared" ref="AO387:AO400" si="492">G387*0</f>
        <v>0</v>
      </c>
      <c r="AP387" s="37">
        <f t="shared" ref="AP387:AP400" si="493">G387*(1-0)</f>
        <v>0</v>
      </c>
      <c r="AQ387" s="72" t="s">
        <v>237</v>
      </c>
      <c r="AV387" s="37">
        <f t="shared" si="484"/>
        <v>0</v>
      </c>
      <c r="AW387" s="37">
        <f t="shared" si="485"/>
        <v>0</v>
      </c>
      <c r="AX387" s="37">
        <f t="shared" si="486"/>
        <v>0</v>
      </c>
      <c r="AY387" s="72" t="s">
        <v>1190</v>
      </c>
      <c r="AZ387" s="72" t="s">
        <v>1143</v>
      </c>
      <c r="BA387" s="49" t="s">
        <v>226</v>
      </c>
      <c r="BC387" s="37">
        <f t="shared" si="487"/>
        <v>0</v>
      </c>
      <c r="BD387" s="37">
        <f t="shared" si="488"/>
        <v>0</v>
      </c>
      <c r="BE387" s="37">
        <v>0</v>
      </c>
      <c r="BF387" s="37">
        <f>387</f>
        <v>387</v>
      </c>
      <c r="BH387" s="37">
        <f t="shared" si="489"/>
        <v>0</v>
      </c>
      <c r="BI387" s="37">
        <f t="shared" si="490"/>
        <v>0</v>
      </c>
      <c r="BJ387" s="37">
        <f t="shared" si="491"/>
        <v>0</v>
      </c>
      <c r="BK387" s="37"/>
      <c r="BL387" s="37">
        <v>96</v>
      </c>
      <c r="BW387" s="37">
        <v>21</v>
      </c>
      <c r="BX387" s="3" t="s">
        <v>1250</v>
      </c>
    </row>
    <row r="388" spans="1:76" x14ac:dyDescent="0.25">
      <c r="A388" s="1" t="s">
        <v>1251</v>
      </c>
      <c r="B388" s="2" t="s">
        <v>1252</v>
      </c>
      <c r="C388" s="279" t="s">
        <v>1253</v>
      </c>
      <c r="D388" s="280"/>
      <c r="E388" s="2" t="s">
        <v>249</v>
      </c>
      <c r="F388" s="37">
        <v>25.25</v>
      </c>
      <c r="G388" s="78">
        <v>0</v>
      </c>
      <c r="H388" s="37">
        <f t="shared" si="470"/>
        <v>0</v>
      </c>
      <c r="I388" s="37">
        <f t="shared" si="471"/>
        <v>0</v>
      </c>
      <c r="J388" s="37">
        <f t="shared" si="472"/>
        <v>0</v>
      </c>
      <c r="K388" s="79" t="s">
        <v>223</v>
      </c>
      <c r="Z388" s="37">
        <f t="shared" si="473"/>
        <v>0</v>
      </c>
      <c r="AB388" s="37">
        <f t="shared" si="474"/>
        <v>0</v>
      </c>
      <c r="AC388" s="37">
        <f t="shared" si="475"/>
        <v>0</v>
      </c>
      <c r="AD388" s="37">
        <f t="shared" si="476"/>
        <v>0</v>
      </c>
      <c r="AE388" s="37">
        <f t="shared" si="477"/>
        <v>0</v>
      </c>
      <c r="AF388" s="37">
        <f t="shared" si="478"/>
        <v>0</v>
      </c>
      <c r="AG388" s="37">
        <f t="shared" si="479"/>
        <v>0</v>
      </c>
      <c r="AH388" s="37">
        <f t="shared" si="480"/>
        <v>0</v>
      </c>
      <c r="AI388" s="49" t="s">
        <v>89</v>
      </c>
      <c r="AJ388" s="37">
        <f t="shared" si="481"/>
        <v>0</v>
      </c>
      <c r="AK388" s="37">
        <f t="shared" si="482"/>
        <v>0</v>
      </c>
      <c r="AL388" s="37">
        <f t="shared" si="483"/>
        <v>0</v>
      </c>
      <c r="AN388" s="37">
        <v>21</v>
      </c>
      <c r="AO388" s="37">
        <f t="shared" si="492"/>
        <v>0</v>
      </c>
      <c r="AP388" s="37">
        <f t="shared" si="493"/>
        <v>0</v>
      </c>
      <c r="AQ388" s="72" t="s">
        <v>219</v>
      </c>
      <c r="AV388" s="37">
        <f t="shared" si="484"/>
        <v>0</v>
      </c>
      <c r="AW388" s="37">
        <f t="shared" si="485"/>
        <v>0</v>
      </c>
      <c r="AX388" s="37">
        <f t="shared" si="486"/>
        <v>0</v>
      </c>
      <c r="AY388" s="72" t="s">
        <v>1190</v>
      </c>
      <c r="AZ388" s="72" t="s">
        <v>1143</v>
      </c>
      <c r="BA388" s="49" t="s">
        <v>226</v>
      </c>
      <c r="BC388" s="37">
        <f t="shared" si="487"/>
        <v>0</v>
      </c>
      <c r="BD388" s="37">
        <f t="shared" si="488"/>
        <v>0</v>
      </c>
      <c r="BE388" s="37">
        <v>0</v>
      </c>
      <c r="BF388" s="37">
        <f>388</f>
        <v>388</v>
      </c>
      <c r="BH388" s="37">
        <f t="shared" si="489"/>
        <v>0</v>
      </c>
      <c r="BI388" s="37">
        <f t="shared" si="490"/>
        <v>0</v>
      </c>
      <c r="BJ388" s="37">
        <f t="shared" si="491"/>
        <v>0</v>
      </c>
      <c r="BK388" s="37"/>
      <c r="BL388" s="37">
        <v>96</v>
      </c>
      <c r="BW388" s="37">
        <v>21</v>
      </c>
      <c r="BX388" s="3" t="s">
        <v>1253</v>
      </c>
    </row>
    <row r="389" spans="1:76" x14ac:dyDescent="0.25">
      <c r="A389" s="1" t="s">
        <v>1254</v>
      </c>
      <c r="B389" s="2" t="s">
        <v>1255</v>
      </c>
      <c r="C389" s="279" t="s">
        <v>1256</v>
      </c>
      <c r="D389" s="280"/>
      <c r="E389" s="2" t="s">
        <v>296</v>
      </c>
      <c r="F389" s="37">
        <v>0.505</v>
      </c>
      <c r="G389" s="78">
        <v>0</v>
      </c>
      <c r="H389" s="37">
        <f t="shared" si="470"/>
        <v>0</v>
      </c>
      <c r="I389" s="37">
        <f t="shared" si="471"/>
        <v>0</v>
      </c>
      <c r="J389" s="37">
        <f t="shared" si="472"/>
        <v>0</v>
      </c>
      <c r="K389" s="79" t="s">
        <v>223</v>
      </c>
      <c r="Z389" s="37">
        <f t="shared" si="473"/>
        <v>0</v>
      </c>
      <c r="AB389" s="37">
        <f t="shared" si="474"/>
        <v>0</v>
      </c>
      <c r="AC389" s="37">
        <f t="shared" si="475"/>
        <v>0</v>
      </c>
      <c r="AD389" s="37">
        <f t="shared" si="476"/>
        <v>0</v>
      </c>
      <c r="AE389" s="37">
        <f t="shared" si="477"/>
        <v>0</v>
      </c>
      <c r="AF389" s="37">
        <f t="shared" si="478"/>
        <v>0</v>
      </c>
      <c r="AG389" s="37">
        <f t="shared" si="479"/>
        <v>0</v>
      </c>
      <c r="AH389" s="37">
        <f t="shared" si="480"/>
        <v>0</v>
      </c>
      <c r="AI389" s="49" t="s">
        <v>89</v>
      </c>
      <c r="AJ389" s="37">
        <f t="shared" si="481"/>
        <v>0</v>
      </c>
      <c r="AK389" s="37">
        <f t="shared" si="482"/>
        <v>0</v>
      </c>
      <c r="AL389" s="37">
        <f t="shared" si="483"/>
        <v>0</v>
      </c>
      <c r="AN389" s="37">
        <v>21</v>
      </c>
      <c r="AO389" s="37">
        <f t="shared" si="492"/>
        <v>0</v>
      </c>
      <c r="AP389" s="37">
        <f t="shared" si="493"/>
        <v>0</v>
      </c>
      <c r="AQ389" s="72" t="s">
        <v>237</v>
      </c>
      <c r="AV389" s="37">
        <f t="shared" si="484"/>
        <v>0</v>
      </c>
      <c r="AW389" s="37">
        <f t="shared" si="485"/>
        <v>0</v>
      </c>
      <c r="AX389" s="37">
        <f t="shared" si="486"/>
        <v>0</v>
      </c>
      <c r="AY389" s="72" t="s">
        <v>1190</v>
      </c>
      <c r="AZ389" s="72" t="s">
        <v>1143</v>
      </c>
      <c r="BA389" s="49" t="s">
        <v>226</v>
      </c>
      <c r="BC389" s="37">
        <f t="shared" si="487"/>
        <v>0</v>
      </c>
      <c r="BD389" s="37">
        <f t="shared" si="488"/>
        <v>0</v>
      </c>
      <c r="BE389" s="37">
        <v>0</v>
      </c>
      <c r="BF389" s="37">
        <f>389</f>
        <v>389</v>
      </c>
      <c r="BH389" s="37">
        <f t="shared" si="489"/>
        <v>0</v>
      </c>
      <c r="BI389" s="37">
        <f t="shared" si="490"/>
        <v>0</v>
      </c>
      <c r="BJ389" s="37">
        <f t="shared" si="491"/>
        <v>0</v>
      </c>
      <c r="BK389" s="37"/>
      <c r="BL389" s="37">
        <v>96</v>
      </c>
      <c r="BW389" s="37">
        <v>21</v>
      </c>
      <c r="BX389" s="3" t="s">
        <v>1256</v>
      </c>
    </row>
    <row r="390" spans="1:76" x14ac:dyDescent="0.25">
      <c r="A390" s="1" t="s">
        <v>1257</v>
      </c>
      <c r="B390" s="2" t="s">
        <v>1258</v>
      </c>
      <c r="C390" s="279" t="s">
        <v>1259</v>
      </c>
      <c r="D390" s="280"/>
      <c r="E390" s="2" t="s">
        <v>333</v>
      </c>
      <c r="F390" s="37">
        <v>5.8</v>
      </c>
      <c r="G390" s="78">
        <v>0</v>
      </c>
      <c r="H390" s="37">
        <f t="shared" si="470"/>
        <v>0</v>
      </c>
      <c r="I390" s="37">
        <f t="shared" si="471"/>
        <v>0</v>
      </c>
      <c r="J390" s="37">
        <f t="shared" si="472"/>
        <v>0</v>
      </c>
      <c r="K390" s="79" t="s">
        <v>334</v>
      </c>
      <c r="Z390" s="37">
        <f t="shared" si="473"/>
        <v>0</v>
      </c>
      <c r="AB390" s="37">
        <f t="shared" si="474"/>
        <v>0</v>
      </c>
      <c r="AC390" s="37">
        <f t="shared" si="475"/>
        <v>0</v>
      </c>
      <c r="AD390" s="37">
        <f t="shared" si="476"/>
        <v>0</v>
      </c>
      <c r="AE390" s="37">
        <f t="shared" si="477"/>
        <v>0</v>
      </c>
      <c r="AF390" s="37">
        <f t="shared" si="478"/>
        <v>0</v>
      </c>
      <c r="AG390" s="37">
        <f t="shared" si="479"/>
        <v>0</v>
      </c>
      <c r="AH390" s="37">
        <f t="shared" si="480"/>
        <v>0</v>
      </c>
      <c r="AI390" s="49" t="s">
        <v>89</v>
      </c>
      <c r="AJ390" s="37">
        <f t="shared" si="481"/>
        <v>0</v>
      </c>
      <c r="AK390" s="37">
        <f t="shared" si="482"/>
        <v>0</v>
      </c>
      <c r="AL390" s="37">
        <f t="shared" si="483"/>
        <v>0</v>
      </c>
      <c r="AN390" s="37">
        <v>21</v>
      </c>
      <c r="AO390" s="37">
        <f t="shared" si="492"/>
        <v>0</v>
      </c>
      <c r="AP390" s="37">
        <f t="shared" si="493"/>
        <v>0</v>
      </c>
      <c r="AQ390" s="72" t="s">
        <v>219</v>
      </c>
      <c r="AV390" s="37">
        <f t="shared" si="484"/>
        <v>0</v>
      </c>
      <c r="AW390" s="37">
        <f t="shared" si="485"/>
        <v>0</v>
      </c>
      <c r="AX390" s="37">
        <f t="shared" si="486"/>
        <v>0</v>
      </c>
      <c r="AY390" s="72" t="s">
        <v>1190</v>
      </c>
      <c r="AZ390" s="72" t="s">
        <v>1143</v>
      </c>
      <c r="BA390" s="49" t="s">
        <v>226</v>
      </c>
      <c r="BC390" s="37">
        <f t="shared" si="487"/>
        <v>0</v>
      </c>
      <c r="BD390" s="37">
        <f t="shared" si="488"/>
        <v>0</v>
      </c>
      <c r="BE390" s="37">
        <v>0</v>
      </c>
      <c r="BF390" s="37">
        <f>390</f>
        <v>390</v>
      </c>
      <c r="BH390" s="37">
        <f t="shared" si="489"/>
        <v>0</v>
      </c>
      <c r="BI390" s="37">
        <f t="shared" si="490"/>
        <v>0</v>
      </c>
      <c r="BJ390" s="37">
        <f t="shared" si="491"/>
        <v>0</v>
      </c>
      <c r="BK390" s="37"/>
      <c r="BL390" s="37">
        <v>96</v>
      </c>
      <c r="BW390" s="37">
        <v>21</v>
      </c>
      <c r="BX390" s="3" t="s">
        <v>1259</v>
      </c>
    </row>
    <row r="391" spans="1:76" x14ac:dyDescent="0.25">
      <c r="A391" s="1" t="s">
        <v>1260</v>
      </c>
      <c r="B391" s="2" t="s">
        <v>1261</v>
      </c>
      <c r="C391" s="279" t="s">
        <v>1262</v>
      </c>
      <c r="D391" s="280"/>
      <c r="E391" s="2" t="s">
        <v>333</v>
      </c>
      <c r="F391" s="37">
        <v>12.2</v>
      </c>
      <c r="G391" s="78">
        <v>0</v>
      </c>
      <c r="H391" s="37">
        <f t="shared" si="470"/>
        <v>0</v>
      </c>
      <c r="I391" s="37">
        <f t="shared" si="471"/>
        <v>0</v>
      </c>
      <c r="J391" s="37">
        <f t="shared" si="472"/>
        <v>0</v>
      </c>
      <c r="K391" s="79" t="s">
        <v>223</v>
      </c>
      <c r="Z391" s="37">
        <f t="shared" si="473"/>
        <v>0</v>
      </c>
      <c r="AB391" s="37">
        <f t="shared" si="474"/>
        <v>0</v>
      </c>
      <c r="AC391" s="37">
        <f t="shared" si="475"/>
        <v>0</v>
      </c>
      <c r="AD391" s="37">
        <f t="shared" si="476"/>
        <v>0</v>
      </c>
      <c r="AE391" s="37">
        <f t="shared" si="477"/>
        <v>0</v>
      </c>
      <c r="AF391" s="37">
        <f t="shared" si="478"/>
        <v>0</v>
      </c>
      <c r="AG391" s="37">
        <f t="shared" si="479"/>
        <v>0</v>
      </c>
      <c r="AH391" s="37">
        <f t="shared" si="480"/>
        <v>0</v>
      </c>
      <c r="AI391" s="49" t="s">
        <v>89</v>
      </c>
      <c r="AJ391" s="37">
        <f t="shared" si="481"/>
        <v>0</v>
      </c>
      <c r="AK391" s="37">
        <f t="shared" si="482"/>
        <v>0</v>
      </c>
      <c r="AL391" s="37">
        <f t="shared" si="483"/>
        <v>0</v>
      </c>
      <c r="AN391" s="37">
        <v>21</v>
      </c>
      <c r="AO391" s="37">
        <f t="shared" si="492"/>
        <v>0</v>
      </c>
      <c r="AP391" s="37">
        <f t="shared" si="493"/>
        <v>0</v>
      </c>
      <c r="AQ391" s="72" t="s">
        <v>219</v>
      </c>
      <c r="AV391" s="37">
        <f t="shared" si="484"/>
        <v>0</v>
      </c>
      <c r="AW391" s="37">
        <f t="shared" si="485"/>
        <v>0</v>
      </c>
      <c r="AX391" s="37">
        <f t="shared" si="486"/>
        <v>0</v>
      </c>
      <c r="AY391" s="72" t="s">
        <v>1190</v>
      </c>
      <c r="AZ391" s="72" t="s">
        <v>1143</v>
      </c>
      <c r="BA391" s="49" t="s">
        <v>226</v>
      </c>
      <c r="BC391" s="37">
        <f t="shared" si="487"/>
        <v>0</v>
      </c>
      <c r="BD391" s="37">
        <f t="shared" si="488"/>
        <v>0</v>
      </c>
      <c r="BE391" s="37">
        <v>0</v>
      </c>
      <c r="BF391" s="37">
        <f>391</f>
        <v>391</v>
      </c>
      <c r="BH391" s="37">
        <f t="shared" si="489"/>
        <v>0</v>
      </c>
      <c r="BI391" s="37">
        <f t="shared" si="490"/>
        <v>0</v>
      </c>
      <c r="BJ391" s="37">
        <f t="shared" si="491"/>
        <v>0</v>
      </c>
      <c r="BK391" s="37"/>
      <c r="BL391" s="37">
        <v>96</v>
      </c>
      <c r="BW391" s="37">
        <v>21</v>
      </c>
      <c r="BX391" s="3" t="s">
        <v>1262</v>
      </c>
    </row>
    <row r="392" spans="1:76" x14ac:dyDescent="0.25">
      <c r="A392" s="1" t="s">
        <v>1263</v>
      </c>
      <c r="B392" s="2" t="s">
        <v>1264</v>
      </c>
      <c r="C392" s="279" t="s">
        <v>1265</v>
      </c>
      <c r="D392" s="280"/>
      <c r="E392" s="2" t="s">
        <v>333</v>
      </c>
      <c r="F392" s="37">
        <v>17</v>
      </c>
      <c r="G392" s="78">
        <v>0</v>
      </c>
      <c r="H392" s="37">
        <f t="shared" si="470"/>
        <v>0</v>
      </c>
      <c r="I392" s="37">
        <f t="shared" si="471"/>
        <v>0</v>
      </c>
      <c r="J392" s="37">
        <f t="shared" si="472"/>
        <v>0</v>
      </c>
      <c r="K392" s="79" t="s">
        <v>223</v>
      </c>
      <c r="Z392" s="37">
        <f t="shared" si="473"/>
        <v>0</v>
      </c>
      <c r="AB392" s="37">
        <f t="shared" si="474"/>
        <v>0</v>
      </c>
      <c r="AC392" s="37">
        <f t="shared" si="475"/>
        <v>0</v>
      </c>
      <c r="AD392" s="37">
        <f t="shared" si="476"/>
        <v>0</v>
      </c>
      <c r="AE392" s="37">
        <f t="shared" si="477"/>
        <v>0</v>
      </c>
      <c r="AF392" s="37">
        <f t="shared" si="478"/>
        <v>0</v>
      </c>
      <c r="AG392" s="37">
        <f t="shared" si="479"/>
        <v>0</v>
      </c>
      <c r="AH392" s="37">
        <f t="shared" si="480"/>
        <v>0</v>
      </c>
      <c r="AI392" s="49" t="s">
        <v>89</v>
      </c>
      <c r="AJ392" s="37">
        <f t="shared" si="481"/>
        <v>0</v>
      </c>
      <c r="AK392" s="37">
        <f t="shared" si="482"/>
        <v>0</v>
      </c>
      <c r="AL392" s="37">
        <f t="shared" si="483"/>
        <v>0</v>
      </c>
      <c r="AN392" s="37">
        <v>21</v>
      </c>
      <c r="AO392" s="37">
        <f t="shared" si="492"/>
        <v>0</v>
      </c>
      <c r="AP392" s="37">
        <f t="shared" si="493"/>
        <v>0</v>
      </c>
      <c r="AQ392" s="72" t="s">
        <v>219</v>
      </c>
      <c r="AV392" s="37">
        <f t="shared" si="484"/>
        <v>0</v>
      </c>
      <c r="AW392" s="37">
        <f t="shared" si="485"/>
        <v>0</v>
      </c>
      <c r="AX392" s="37">
        <f t="shared" si="486"/>
        <v>0</v>
      </c>
      <c r="AY392" s="72" t="s">
        <v>1190</v>
      </c>
      <c r="AZ392" s="72" t="s">
        <v>1143</v>
      </c>
      <c r="BA392" s="49" t="s">
        <v>226</v>
      </c>
      <c r="BC392" s="37">
        <f t="shared" si="487"/>
        <v>0</v>
      </c>
      <c r="BD392" s="37">
        <f t="shared" si="488"/>
        <v>0</v>
      </c>
      <c r="BE392" s="37">
        <v>0</v>
      </c>
      <c r="BF392" s="37">
        <f>392</f>
        <v>392</v>
      </c>
      <c r="BH392" s="37">
        <f t="shared" si="489"/>
        <v>0</v>
      </c>
      <c r="BI392" s="37">
        <f t="shared" si="490"/>
        <v>0</v>
      </c>
      <c r="BJ392" s="37">
        <f t="shared" si="491"/>
        <v>0</v>
      </c>
      <c r="BK392" s="37"/>
      <c r="BL392" s="37">
        <v>96</v>
      </c>
      <c r="BW392" s="37">
        <v>21</v>
      </c>
      <c r="BX392" s="3" t="s">
        <v>1265</v>
      </c>
    </row>
    <row r="393" spans="1:76" x14ac:dyDescent="0.25">
      <c r="A393" s="1" t="s">
        <v>1266</v>
      </c>
      <c r="B393" s="2" t="s">
        <v>1267</v>
      </c>
      <c r="C393" s="279" t="s">
        <v>1268</v>
      </c>
      <c r="D393" s="280"/>
      <c r="E393" s="2" t="s">
        <v>329</v>
      </c>
      <c r="F393" s="37">
        <v>18</v>
      </c>
      <c r="G393" s="78">
        <v>0</v>
      </c>
      <c r="H393" s="37">
        <f t="shared" si="470"/>
        <v>0</v>
      </c>
      <c r="I393" s="37">
        <f t="shared" si="471"/>
        <v>0</v>
      </c>
      <c r="J393" s="37">
        <f t="shared" si="472"/>
        <v>0</v>
      </c>
      <c r="K393" s="79" t="s">
        <v>223</v>
      </c>
      <c r="Z393" s="37">
        <f t="shared" si="473"/>
        <v>0</v>
      </c>
      <c r="AB393" s="37">
        <f t="shared" si="474"/>
        <v>0</v>
      </c>
      <c r="AC393" s="37">
        <f t="shared" si="475"/>
        <v>0</v>
      </c>
      <c r="AD393" s="37">
        <f t="shared" si="476"/>
        <v>0</v>
      </c>
      <c r="AE393" s="37">
        <f t="shared" si="477"/>
        <v>0</v>
      </c>
      <c r="AF393" s="37">
        <f t="shared" si="478"/>
        <v>0</v>
      </c>
      <c r="AG393" s="37">
        <f t="shared" si="479"/>
        <v>0</v>
      </c>
      <c r="AH393" s="37">
        <f t="shared" si="480"/>
        <v>0</v>
      </c>
      <c r="AI393" s="49" t="s">
        <v>89</v>
      </c>
      <c r="AJ393" s="37">
        <f t="shared" si="481"/>
        <v>0</v>
      </c>
      <c r="AK393" s="37">
        <f t="shared" si="482"/>
        <v>0</v>
      </c>
      <c r="AL393" s="37">
        <f t="shared" si="483"/>
        <v>0</v>
      </c>
      <c r="AN393" s="37">
        <v>21</v>
      </c>
      <c r="AO393" s="37">
        <f t="shared" si="492"/>
        <v>0</v>
      </c>
      <c r="AP393" s="37">
        <f t="shared" si="493"/>
        <v>0</v>
      </c>
      <c r="AQ393" s="72" t="s">
        <v>219</v>
      </c>
      <c r="AV393" s="37">
        <f t="shared" si="484"/>
        <v>0</v>
      </c>
      <c r="AW393" s="37">
        <f t="shared" si="485"/>
        <v>0</v>
      </c>
      <c r="AX393" s="37">
        <f t="shared" si="486"/>
        <v>0</v>
      </c>
      <c r="AY393" s="72" t="s">
        <v>1190</v>
      </c>
      <c r="AZ393" s="72" t="s">
        <v>1143</v>
      </c>
      <c r="BA393" s="49" t="s">
        <v>226</v>
      </c>
      <c r="BC393" s="37">
        <f t="shared" si="487"/>
        <v>0</v>
      </c>
      <c r="BD393" s="37">
        <f t="shared" si="488"/>
        <v>0</v>
      </c>
      <c r="BE393" s="37">
        <v>0</v>
      </c>
      <c r="BF393" s="37">
        <f>393</f>
        <v>393</v>
      </c>
      <c r="BH393" s="37">
        <f t="shared" si="489"/>
        <v>0</v>
      </c>
      <c r="BI393" s="37">
        <f t="shared" si="490"/>
        <v>0</v>
      </c>
      <c r="BJ393" s="37">
        <f t="shared" si="491"/>
        <v>0</v>
      </c>
      <c r="BK393" s="37"/>
      <c r="BL393" s="37">
        <v>96</v>
      </c>
      <c r="BW393" s="37">
        <v>21</v>
      </c>
      <c r="BX393" s="3" t="s">
        <v>1268</v>
      </c>
    </row>
    <row r="394" spans="1:76" x14ac:dyDescent="0.25">
      <c r="A394" s="1" t="s">
        <v>1269</v>
      </c>
      <c r="B394" s="2" t="s">
        <v>1270</v>
      </c>
      <c r="C394" s="279" t="s">
        <v>1271</v>
      </c>
      <c r="D394" s="280"/>
      <c r="E394" s="2" t="s">
        <v>329</v>
      </c>
      <c r="F394" s="37">
        <v>1</v>
      </c>
      <c r="G394" s="78">
        <v>0</v>
      </c>
      <c r="H394" s="37">
        <f t="shared" si="470"/>
        <v>0</v>
      </c>
      <c r="I394" s="37">
        <f t="shared" si="471"/>
        <v>0</v>
      </c>
      <c r="J394" s="37">
        <f t="shared" si="472"/>
        <v>0</v>
      </c>
      <c r="K394" s="79" t="s">
        <v>223</v>
      </c>
      <c r="Z394" s="37">
        <f t="shared" si="473"/>
        <v>0</v>
      </c>
      <c r="AB394" s="37">
        <f t="shared" si="474"/>
        <v>0</v>
      </c>
      <c r="AC394" s="37">
        <f t="shared" si="475"/>
        <v>0</v>
      </c>
      <c r="AD394" s="37">
        <f t="shared" si="476"/>
        <v>0</v>
      </c>
      <c r="AE394" s="37">
        <f t="shared" si="477"/>
        <v>0</v>
      </c>
      <c r="AF394" s="37">
        <f t="shared" si="478"/>
        <v>0</v>
      </c>
      <c r="AG394" s="37">
        <f t="shared" si="479"/>
        <v>0</v>
      </c>
      <c r="AH394" s="37">
        <f t="shared" si="480"/>
        <v>0</v>
      </c>
      <c r="AI394" s="49" t="s">
        <v>89</v>
      </c>
      <c r="AJ394" s="37">
        <f t="shared" si="481"/>
        <v>0</v>
      </c>
      <c r="AK394" s="37">
        <f t="shared" si="482"/>
        <v>0</v>
      </c>
      <c r="AL394" s="37">
        <f t="shared" si="483"/>
        <v>0</v>
      </c>
      <c r="AN394" s="37">
        <v>21</v>
      </c>
      <c r="AO394" s="37">
        <f t="shared" si="492"/>
        <v>0</v>
      </c>
      <c r="AP394" s="37">
        <f t="shared" si="493"/>
        <v>0</v>
      </c>
      <c r="AQ394" s="72" t="s">
        <v>219</v>
      </c>
      <c r="AV394" s="37">
        <f t="shared" si="484"/>
        <v>0</v>
      </c>
      <c r="AW394" s="37">
        <f t="shared" si="485"/>
        <v>0</v>
      </c>
      <c r="AX394" s="37">
        <f t="shared" si="486"/>
        <v>0</v>
      </c>
      <c r="AY394" s="72" t="s">
        <v>1190</v>
      </c>
      <c r="AZ394" s="72" t="s">
        <v>1143</v>
      </c>
      <c r="BA394" s="49" t="s">
        <v>226</v>
      </c>
      <c r="BC394" s="37">
        <f t="shared" si="487"/>
        <v>0</v>
      </c>
      <c r="BD394" s="37">
        <f t="shared" si="488"/>
        <v>0</v>
      </c>
      <c r="BE394" s="37">
        <v>0</v>
      </c>
      <c r="BF394" s="37">
        <f>394</f>
        <v>394</v>
      </c>
      <c r="BH394" s="37">
        <f t="shared" si="489"/>
        <v>0</v>
      </c>
      <c r="BI394" s="37">
        <f t="shared" si="490"/>
        <v>0</v>
      </c>
      <c r="BJ394" s="37">
        <f t="shared" si="491"/>
        <v>0</v>
      </c>
      <c r="BK394" s="37"/>
      <c r="BL394" s="37">
        <v>96</v>
      </c>
      <c r="BW394" s="37">
        <v>21</v>
      </c>
      <c r="BX394" s="3" t="s">
        <v>1271</v>
      </c>
    </row>
    <row r="395" spans="1:76" x14ac:dyDescent="0.25">
      <c r="A395" s="1" t="s">
        <v>1272</v>
      </c>
      <c r="B395" s="2" t="s">
        <v>1273</v>
      </c>
      <c r="C395" s="279" t="s">
        <v>1274</v>
      </c>
      <c r="D395" s="280"/>
      <c r="E395" s="2" t="s">
        <v>329</v>
      </c>
      <c r="F395" s="37">
        <v>8</v>
      </c>
      <c r="G395" s="78">
        <v>0</v>
      </c>
      <c r="H395" s="37">
        <f t="shared" si="470"/>
        <v>0</v>
      </c>
      <c r="I395" s="37">
        <f t="shared" si="471"/>
        <v>0</v>
      </c>
      <c r="J395" s="37">
        <f t="shared" si="472"/>
        <v>0</v>
      </c>
      <c r="K395" s="79" t="s">
        <v>223</v>
      </c>
      <c r="Z395" s="37">
        <f t="shared" si="473"/>
        <v>0</v>
      </c>
      <c r="AB395" s="37">
        <f t="shared" si="474"/>
        <v>0</v>
      </c>
      <c r="AC395" s="37">
        <f t="shared" si="475"/>
        <v>0</v>
      </c>
      <c r="AD395" s="37">
        <f t="shared" si="476"/>
        <v>0</v>
      </c>
      <c r="AE395" s="37">
        <f t="shared" si="477"/>
        <v>0</v>
      </c>
      <c r="AF395" s="37">
        <f t="shared" si="478"/>
        <v>0</v>
      </c>
      <c r="AG395" s="37">
        <f t="shared" si="479"/>
        <v>0</v>
      </c>
      <c r="AH395" s="37">
        <f t="shared" si="480"/>
        <v>0</v>
      </c>
      <c r="AI395" s="49" t="s">
        <v>89</v>
      </c>
      <c r="AJ395" s="37">
        <f t="shared" si="481"/>
        <v>0</v>
      </c>
      <c r="AK395" s="37">
        <f t="shared" si="482"/>
        <v>0</v>
      </c>
      <c r="AL395" s="37">
        <f t="shared" si="483"/>
        <v>0</v>
      </c>
      <c r="AN395" s="37">
        <v>21</v>
      </c>
      <c r="AO395" s="37">
        <f t="shared" si="492"/>
        <v>0</v>
      </c>
      <c r="AP395" s="37">
        <f t="shared" si="493"/>
        <v>0</v>
      </c>
      <c r="AQ395" s="72" t="s">
        <v>219</v>
      </c>
      <c r="AV395" s="37">
        <f t="shared" si="484"/>
        <v>0</v>
      </c>
      <c r="AW395" s="37">
        <f t="shared" si="485"/>
        <v>0</v>
      </c>
      <c r="AX395" s="37">
        <f t="shared" si="486"/>
        <v>0</v>
      </c>
      <c r="AY395" s="72" t="s">
        <v>1190</v>
      </c>
      <c r="AZ395" s="72" t="s">
        <v>1143</v>
      </c>
      <c r="BA395" s="49" t="s">
        <v>226</v>
      </c>
      <c r="BC395" s="37">
        <f t="shared" si="487"/>
        <v>0</v>
      </c>
      <c r="BD395" s="37">
        <f t="shared" si="488"/>
        <v>0</v>
      </c>
      <c r="BE395" s="37">
        <v>0</v>
      </c>
      <c r="BF395" s="37">
        <f>395</f>
        <v>395</v>
      </c>
      <c r="BH395" s="37">
        <f t="shared" si="489"/>
        <v>0</v>
      </c>
      <c r="BI395" s="37">
        <f t="shared" si="490"/>
        <v>0</v>
      </c>
      <c r="BJ395" s="37">
        <f t="shared" si="491"/>
        <v>0</v>
      </c>
      <c r="BK395" s="37"/>
      <c r="BL395" s="37">
        <v>96</v>
      </c>
      <c r="BW395" s="37">
        <v>21</v>
      </c>
      <c r="BX395" s="3" t="s">
        <v>1274</v>
      </c>
    </row>
    <row r="396" spans="1:76" x14ac:dyDescent="0.25">
      <c r="A396" s="1" t="s">
        <v>1275</v>
      </c>
      <c r="B396" s="2" t="s">
        <v>1276</v>
      </c>
      <c r="C396" s="279" t="s">
        <v>1277</v>
      </c>
      <c r="D396" s="280"/>
      <c r="E396" s="2" t="s">
        <v>333</v>
      </c>
      <c r="F396" s="37">
        <v>4.8</v>
      </c>
      <c r="G396" s="78">
        <v>0</v>
      </c>
      <c r="H396" s="37">
        <f t="shared" si="470"/>
        <v>0</v>
      </c>
      <c r="I396" s="37">
        <f t="shared" si="471"/>
        <v>0</v>
      </c>
      <c r="J396" s="37">
        <f t="shared" si="472"/>
        <v>0</v>
      </c>
      <c r="K396" s="79" t="s">
        <v>223</v>
      </c>
      <c r="Z396" s="37">
        <f t="shared" si="473"/>
        <v>0</v>
      </c>
      <c r="AB396" s="37">
        <f t="shared" si="474"/>
        <v>0</v>
      </c>
      <c r="AC396" s="37">
        <f t="shared" si="475"/>
        <v>0</v>
      </c>
      <c r="AD396" s="37">
        <f t="shared" si="476"/>
        <v>0</v>
      </c>
      <c r="AE396" s="37">
        <f t="shared" si="477"/>
        <v>0</v>
      </c>
      <c r="AF396" s="37">
        <f t="shared" si="478"/>
        <v>0</v>
      </c>
      <c r="AG396" s="37">
        <f t="shared" si="479"/>
        <v>0</v>
      </c>
      <c r="AH396" s="37">
        <f t="shared" si="480"/>
        <v>0</v>
      </c>
      <c r="AI396" s="49" t="s">
        <v>89</v>
      </c>
      <c r="AJ396" s="37">
        <f t="shared" si="481"/>
        <v>0</v>
      </c>
      <c r="AK396" s="37">
        <f t="shared" si="482"/>
        <v>0</v>
      </c>
      <c r="AL396" s="37">
        <f t="shared" si="483"/>
        <v>0</v>
      </c>
      <c r="AN396" s="37">
        <v>21</v>
      </c>
      <c r="AO396" s="37">
        <f t="shared" si="492"/>
        <v>0</v>
      </c>
      <c r="AP396" s="37">
        <f t="shared" si="493"/>
        <v>0</v>
      </c>
      <c r="AQ396" s="72" t="s">
        <v>219</v>
      </c>
      <c r="AV396" s="37">
        <f t="shared" si="484"/>
        <v>0</v>
      </c>
      <c r="AW396" s="37">
        <f t="shared" si="485"/>
        <v>0</v>
      </c>
      <c r="AX396" s="37">
        <f t="shared" si="486"/>
        <v>0</v>
      </c>
      <c r="AY396" s="72" t="s">
        <v>1190</v>
      </c>
      <c r="AZ396" s="72" t="s">
        <v>1143</v>
      </c>
      <c r="BA396" s="49" t="s">
        <v>226</v>
      </c>
      <c r="BC396" s="37">
        <f t="shared" si="487"/>
        <v>0</v>
      </c>
      <c r="BD396" s="37">
        <f t="shared" si="488"/>
        <v>0</v>
      </c>
      <c r="BE396" s="37">
        <v>0</v>
      </c>
      <c r="BF396" s="37">
        <f>396</f>
        <v>396</v>
      </c>
      <c r="BH396" s="37">
        <f t="shared" si="489"/>
        <v>0</v>
      </c>
      <c r="BI396" s="37">
        <f t="shared" si="490"/>
        <v>0</v>
      </c>
      <c r="BJ396" s="37">
        <f t="shared" si="491"/>
        <v>0</v>
      </c>
      <c r="BK396" s="37"/>
      <c r="BL396" s="37">
        <v>96</v>
      </c>
      <c r="BW396" s="37">
        <v>21</v>
      </c>
      <c r="BX396" s="3" t="s">
        <v>1277</v>
      </c>
    </row>
    <row r="397" spans="1:76" x14ac:dyDescent="0.25">
      <c r="A397" s="1" t="s">
        <v>1278</v>
      </c>
      <c r="B397" s="2" t="s">
        <v>1279</v>
      </c>
      <c r="C397" s="279" t="s">
        <v>1280</v>
      </c>
      <c r="D397" s="280"/>
      <c r="E397" s="2" t="s">
        <v>333</v>
      </c>
      <c r="F397" s="37">
        <v>6.3</v>
      </c>
      <c r="G397" s="78">
        <v>0</v>
      </c>
      <c r="H397" s="37">
        <f t="shared" si="470"/>
        <v>0</v>
      </c>
      <c r="I397" s="37">
        <f t="shared" si="471"/>
        <v>0</v>
      </c>
      <c r="J397" s="37">
        <f t="shared" si="472"/>
        <v>0</v>
      </c>
      <c r="K397" s="79" t="s">
        <v>334</v>
      </c>
      <c r="Z397" s="37">
        <f t="shared" si="473"/>
        <v>0</v>
      </c>
      <c r="AB397" s="37">
        <f t="shared" si="474"/>
        <v>0</v>
      </c>
      <c r="AC397" s="37">
        <f t="shared" si="475"/>
        <v>0</v>
      </c>
      <c r="AD397" s="37">
        <f t="shared" si="476"/>
        <v>0</v>
      </c>
      <c r="AE397" s="37">
        <f t="shared" si="477"/>
        <v>0</v>
      </c>
      <c r="AF397" s="37">
        <f t="shared" si="478"/>
        <v>0</v>
      </c>
      <c r="AG397" s="37">
        <f t="shared" si="479"/>
        <v>0</v>
      </c>
      <c r="AH397" s="37">
        <f t="shared" si="480"/>
        <v>0</v>
      </c>
      <c r="AI397" s="49" t="s">
        <v>89</v>
      </c>
      <c r="AJ397" s="37">
        <f t="shared" si="481"/>
        <v>0</v>
      </c>
      <c r="AK397" s="37">
        <f t="shared" si="482"/>
        <v>0</v>
      </c>
      <c r="AL397" s="37">
        <f t="shared" si="483"/>
        <v>0</v>
      </c>
      <c r="AN397" s="37">
        <v>21</v>
      </c>
      <c r="AO397" s="37">
        <f t="shared" si="492"/>
        <v>0</v>
      </c>
      <c r="AP397" s="37">
        <f t="shared" si="493"/>
        <v>0</v>
      </c>
      <c r="AQ397" s="72" t="s">
        <v>219</v>
      </c>
      <c r="AV397" s="37">
        <f t="shared" si="484"/>
        <v>0</v>
      </c>
      <c r="AW397" s="37">
        <f t="shared" si="485"/>
        <v>0</v>
      </c>
      <c r="AX397" s="37">
        <f t="shared" si="486"/>
        <v>0</v>
      </c>
      <c r="AY397" s="72" t="s">
        <v>1190</v>
      </c>
      <c r="AZ397" s="72" t="s">
        <v>1143</v>
      </c>
      <c r="BA397" s="49" t="s">
        <v>226</v>
      </c>
      <c r="BC397" s="37">
        <f t="shared" si="487"/>
        <v>0</v>
      </c>
      <c r="BD397" s="37">
        <f t="shared" si="488"/>
        <v>0</v>
      </c>
      <c r="BE397" s="37">
        <v>0</v>
      </c>
      <c r="BF397" s="37">
        <f>397</f>
        <v>397</v>
      </c>
      <c r="BH397" s="37">
        <f t="shared" si="489"/>
        <v>0</v>
      </c>
      <c r="BI397" s="37">
        <f t="shared" si="490"/>
        <v>0</v>
      </c>
      <c r="BJ397" s="37">
        <f t="shared" si="491"/>
        <v>0</v>
      </c>
      <c r="BK397" s="37"/>
      <c r="BL397" s="37">
        <v>96</v>
      </c>
      <c r="BW397" s="37">
        <v>21</v>
      </c>
      <c r="BX397" s="3" t="s">
        <v>1280</v>
      </c>
    </row>
    <row r="398" spans="1:76" x14ac:dyDescent="0.25">
      <c r="A398" s="1" t="s">
        <v>1281</v>
      </c>
      <c r="B398" s="2" t="s">
        <v>1282</v>
      </c>
      <c r="C398" s="279" t="s">
        <v>1283</v>
      </c>
      <c r="D398" s="280"/>
      <c r="E398" s="2" t="s">
        <v>296</v>
      </c>
      <c r="F398" s="37">
        <v>0.20147999999999999</v>
      </c>
      <c r="G398" s="78">
        <v>0</v>
      </c>
      <c r="H398" s="37">
        <f t="shared" si="470"/>
        <v>0</v>
      </c>
      <c r="I398" s="37">
        <f t="shared" si="471"/>
        <v>0</v>
      </c>
      <c r="J398" s="37">
        <f t="shared" si="472"/>
        <v>0</v>
      </c>
      <c r="K398" s="79" t="s">
        <v>223</v>
      </c>
      <c r="Z398" s="37">
        <f t="shared" si="473"/>
        <v>0</v>
      </c>
      <c r="AB398" s="37">
        <f t="shared" si="474"/>
        <v>0</v>
      </c>
      <c r="AC398" s="37">
        <f t="shared" si="475"/>
        <v>0</v>
      </c>
      <c r="AD398" s="37">
        <f t="shared" si="476"/>
        <v>0</v>
      </c>
      <c r="AE398" s="37">
        <f t="shared" si="477"/>
        <v>0</v>
      </c>
      <c r="AF398" s="37">
        <f t="shared" si="478"/>
        <v>0</v>
      </c>
      <c r="AG398" s="37">
        <f t="shared" si="479"/>
        <v>0</v>
      </c>
      <c r="AH398" s="37">
        <f t="shared" si="480"/>
        <v>0</v>
      </c>
      <c r="AI398" s="49" t="s">
        <v>89</v>
      </c>
      <c r="AJ398" s="37">
        <f t="shared" si="481"/>
        <v>0</v>
      </c>
      <c r="AK398" s="37">
        <f t="shared" si="482"/>
        <v>0</v>
      </c>
      <c r="AL398" s="37">
        <f t="shared" si="483"/>
        <v>0</v>
      </c>
      <c r="AN398" s="37">
        <v>21</v>
      </c>
      <c r="AO398" s="37">
        <f t="shared" si="492"/>
        <v>0</v>
      </c>
      <c r="AP398" s="37">
        <f t="shared" si="493"/>
        <v>0</v>
      </c>
      <c r="AQ398" s="72" t="s">
        <v>237</v>
      </c>
      <c r="AV398" s="37">
        <f t="shared" si="484"/>
        <v>0</v>
      </c>
      <c r="AW398" s="37">
        <f t="shared" si="485"/>
        <v>0</v>
      </c>
      <c r="AX398" s="37">
        <f t="shared" si="486"/>
        <v>0</v>
      </c>
      <c r="AY398" s="72" t="s">
        <v>1190</v>
      </c>
      <c r="AZ398" s="72" t="s">
        <v>1143</v>
      </c>
      <c r="BA398" s="49" t="s">
        <v>226</v>
      </c>
      <c r="BC398" s="37">
        <f t="shared" si="487"/>
        <v>0</v>
      </c>
      <c r="BD398" s="37">
        <f t="shared" si="488"/>
        <v>0</v>
      </c>
      <c r="BE398" s="37">
        <v>0</v>
      </c>
      <c r="BF398" s="37">
        <f>398</f>
        <v>398</v>
      </c>
      <c r="BH398" s="37">
        <f t="shared" si="489"/>
        <v>0</v>
      </c>
      <c r="BI398" s="37">
        <f t="shared" si="490"/>
        <v>0</v>
      </c>
      <c r="BJ398" s="37">
        <f t="shared" si="491"/>
        <v>0</v>
      </c>
      <c r="BK398" s="37"/>
      <c r="BL398" s="37">
        <v>96</v>
      </c>
      <c r="BW398" s="37">
        <v>21</v>
      </c>
      <c r="BX398" s="3" t="s">
        <v>1283</v>
      </c>
    </row>
    <row r="399" spans="1:76" x14ac:dyDescent="0.25">
      <c r="A399" s="1" t="s">
        <v>1284</v>
      </c>
      <c r="B399" s="2" t="s">
        <v>1285</v>
      </c>
      <c r="C399" s="279" t="s">
        <v>1286</v>
      </c>
      <c r="D399" s="280"/>
      <c r="E399" s="2" t="s">
        <v>249</v>
      </c>
      <c r="F399" s="37">
        <v>56.34</v>
      </c>
      <c r="G399" s="78">
        <v>0</v>
      </c>
      <c r="H399" s="37">
        <f t="shared" si="470"/>
        <v>0</v>
      </c>
      <c r="I399" s="37">
        <f t="shared" si="471"/>
        <v>0</v>
      </c>
      <c r="J399" s="37">
        <f t="shared" si="472"/>
        <v>0</v>
      </c>
      <c r="K399" s="79" t="s">
        <v>223</v>
      </c>
      <c r="Z399" s="37">
        <f t="shared" si="473"/>
        <v>0</v>
      </c>
      <c r="AB399" s="37">
        <f t="shared" si="474"/>
        <v>0</v>
      </c>
      <c r="AC399" s="37">
        <f t="shared" si="475"/>
        <v>0</v>
      </c>
      <c r="AD399" s="37">
        <f t="shared" si="476"/>
        <v>0</v>
      </c>
      <c r="AE399" s="37">
        <f t="shared" si="477"/>
        <v>0</v>
      </c>
      <c r="AF399" s="37">
        <f t="shared" si="478"/>
        <v>0</v>
      </c>
      <c r="AG399" s="37">
        <f t="shared" si="479"/>
        <v>0</v>
      </c>
      <c r="AH399" s="37">
        <f t="shared" si="480"/>
        <v>0</v>
      </c>
      <c r="AI399" s="49" t="s">
        <v>89</v>
      </c>
      <c r="AJ399" s="37">
        <f t="shared" si="481"/>
        <v>0</v>
      </c>
      <c r="AK399" s="37">
        <f t="shared" si="482"/>
        <v>0</v>
      </c>
      <c r="AL399" s="37">
        <f t="shared" si="483"/>
        <v>0</v>
      </c>
      <c r="AN399" s="37">
        <v>21</v>
      </c>
      <c r="AO399" s="37">
        <f t="shared" si="492"/>
        <v>0</v>
      </c>
      <c r="AP399" s="37">
        <f t="shared" si="493"/>
        <v>0</v>
      </c>
      <c r="AQ399" s="72" t="s">
        <v>219</v>
      </c>
      <c r="AV399" s="37">
        <f t="shared" si="484"/>
        <v>0</v>
      </c>
      <c r="AW399" s="37">
        <f t="shared" si="485"/>
        <v>0</v>
      </c>
      <c r="AX399" s="37">
        <f t="shared" si="486"/>
        <v>0</v>
      </c>
      <c r="AY399" s="72" t="s">
        <v>1190</v>
      </c>
      <c r="AZ399" s="72" t="s">
        <v>1143</v>
      </c>
      <c r="BA399" s="49" t="s">
        <v>226</v>
      </c>
      <c r="BC399" s="37">
        <f t="shared" si="487"/>
        <v>0</v>
      </c>
      <c r="BD399" s="37">
        <f t="shared" si="488"/>
        <v>0</v>
      </c>
      <c r="BE399" s="37">
        <v>0</v>
      </c>
      <c r="BF399" s="37">
        <f>399</f>
        <v>399</v>
      </c>
      <c r="BH399" s="37">
        <f t="shared" si="489"/>
        <v>0</v>
      </c>
      <c r="BI399" s="37">
        <f t="shared" si="490"/>
        <v>0</v>
      </c>
      <c r="BJ399" s="37">
        <f t="shared" si="491"/>
        <v>0</v>
      </c>
      <c r="BK399" s="37"/>
      <c r="BL399" s="37">
        <v>96</v>
      </c>
      <c r="BW399" s="37">
        <v>21</v>
      </c>
      <c r="BX399" s="3" t="s">
        <v>1286</v>
      </c>
    </row>
    <row r="400" spans="1:76" x14ac:dyDescent="0.25">
      <c r="A400" s="1" t="s">
        <v>1287</v>
      </c>
      <c r="B400" s="2" t="s">
        <v>1288</v>
      </c>
      <c r="C400" s="279" t="s">
        <v>1289</v>
      </c>
      <c r="D400" s="280"/>
      <c r="E400" s="2" t="s">
        <v>296</v>
      </c>
      <c r="F400" s="37">
        <v>0.19719</v>
      </c>
      <c r="G400" s="78">
        <v>0</v>
      </c>
      <c r="H400" s="37">
        <f t="shared" si="470"/>
        <v>0</v>
      </c>
      <c r="I400" s="37">
        <f t="shared" si="471"/>
        <v>0</v>
      </c>
      <c r="J400" s="37">
        <f t="shared" si="472"/>
        <v>0</v>
      </c>
      <c r="K400" s="79" t="s">
        <v>223</v>
      </c>
      <c r="Z400" s="37">
        <f t="shared" si="473"/>
        <v>0</v>
      </c>
      <c r="AB400" s="37">
        <f t="shared" si="474"/>
        <v>0</v>
      </c>
      <c r="AC400" s="37">
        <f t="shared" si="475"/>
        <v>0</v>
      </c>
      <c r="AD400" s="37">
        <f t="shared" si="476"/>
        <v>0</v>
      </c>
      <c r="AE400" s="37">
        <f t="shared" si="477"/>
        <v>0</v>
      </c>
      <c r="AF400" s="37">
        <f t="shared" si="478"/>
        <v>0</v>
      </c>
      <c r="AG400" s="37">
        <f t="shared" si="479"/>
        <v>0</v>
      </c>
      <c r="AH400" s="37">
        <f t="shared" si="480"/>
        <v>0</v>
      </c>
      <c r="AI400" s="49" t="s">
        <v>89</v>
      </c>
      <c r="AJ400" s="37">
        <f t="shared" si="481"/>
        <v>0</v>
      </c>
      <c r="AK400" s="37">
        <f t="shared" si="482"/>
        <v>0</v>
      </c>
      <c r="AL400" s="37">
        <f t="shared" si="483"/>
        <v>0</v>
      </c>
      <c r="AN400" s="37">
        <v>21</v>
      </c>
      <c r="AO400" s="37">
        <f t="shared" si="492"/>
        <v>0</v>
      </c>
      <c r="AP400" s="37">
        <f t="shared" si="493"/>
        <v>0</v>
      </c>
      <c r="AQ400" s="72" t="s">
        <v>237</v>
      </c>
      <c r="AV400" s="37">
        <f t="shared" si="484"/>
        <v>0</v>
      </c>
      <c r="AW400" s="37">
        <f t="shared" si="485"/>
        <v>0</v>
      </c>
      <c r="AX400" s="37">
        <f t="shared" si="486"/>
        <v>0</v>
      </c>
      <c r="AY400" s="72" t="s">
        <v>1190</v>
      </c>
      <c r="AZ400" s="72" t="s">
        <v>1143</v>
      </c>
      <c r="BA400" s="49" t="s">
        <v>226</v>
      </c>
      <c r="BC400" s="37">
        <f t="shared" si="487"/>
        <v>0</v>
      </c>
      <c r="BD400" s="37">
        <f t="shared" si="488"/>
        <v>0</v>
      </c>
      <c r="BE400" s="37">
        <v>0</v>
      </c>
      <c r="BF400" s="37">
        <f>400</f>
        <v>400</v>
      </c>
      <c r="BH400" s="37">
        <f t="shared" si="489"/>
        <v>0</v>
      </c>
      <c r="BI400" s="37">
        <f t="shared" si="490"/>
        <v>0</v>
      </c>
      <c r="BJ400" s="37">
        <f t="shared" si="491"/>
        <v>0</v>
      </c>
      <c r="BK400" s="37"/>
      <c r="BL400" s="37">
        <v>96</v>
      </c>
      <c r="BW400" s="37">
        <v>21</v>
      </c>
      <c r="BX400" s="3" t="s">
        <v>1289</v>
      </c>
    </row>
    <row r="401" spans="1:76" x14ac:dyDescent="0.25">
      <c r="A401" s="1" t="s">
        <v>1290</v>
      </c>
      <c r="B401" s="2" t="s">
        <v>1291</v>
      </c>
      <c r="C401" s="279" t="s">
        <v>1292</v>
      </c>
      <c r="D401" s="280"/>
      <c r="E401" s="2" t="s">
        <v>329</v>
      </c>
      <c r="F401" s="37">
        <v>2</v>
      </c>
      <c r="G401" s="78">
        <v>0</v>
      </c>
      <c r="H401" s="37">
        <f t="shared" si="470"/>
        <v>0</v>
      </c>
      <c r="I401" s="37">
        <f t="shared" si="471"/>
        <v>0</v>
      </c>
      <c r="J401" s="37">
        <f t="shared" si="472"/>
        <v>0</v>
      </c>
      <c r="K401" s="79" t="s">
        <v>223</v>
      </c>
      <c r="Z401" s="37">
        <f t="shared" si="473"/>
        <v>0</v>
      </c>
      <c r="AB401" s="37">
        <f t="shared" si="474"/>
        <v>0</v>
      </c>
      <c r="AC401" s="37">
        <f t="shared" si="475"/>
        <v>0</v>
      </c>
      <c r="AD401" s="37">
        <f t="shared" si="476"/>
        <v>0</v>
      </c>
      <c r="AE401" s="37">
        <f t="shared" si="477"/>
        <v>0</v>
      </c>
      <c r="AF401" s="37">
        <f t="shared" si="478"/>
        <v>0</v>
      </c>
      <c r="AG401" s="37">
        <f t="shared" si="479"/>
        <v>0</v>
      </c>
      <c r="AH401" s="37">
        <f t="shared" si="480"/>
        <v>0</v>
      </c>
      <c r="AI401" s="49" t="s">
        <v>89</v>
      </c>
      <c r="AJ401" s="37">
        <f t="shared" si="481"/>
        <v>0</v>
      </c>
      <c r="AK401" s="37">
        <f t="shared" si="482"/>
        <v>0</v>
      </c>
      <c r="AL401" s="37">
        <f t="shared" si="483"/>
        <v>0</v>
      </c>
      <c r="AN401" s="37">
        <v>21</v>
      </c>
      <c r="AO401" s="37">
        <f>G401*0.054106776</f>
        <v>0</v>
      </c>
      <c r="AP401" s="37">
        <f>G401*(1-0.054106776)</f>
        <v>0</v>
      </c>
      <c r="AQ401" s="72" t="s">
        <v>219</v>
      </c>
      <c r="AV401" s="37">
        <f t="shared" si="484"/>
        <v>0</v>
      </c>
      <c r="AW401" s="37">
        <f t="shared" si="485"/>
        <v>0</v>
      </c>
      <c r="AX401" s="37">
        <f t="shared" si="486"/>
        <v>0</v>
      </c>
      <c r="AY401" s="72" t="s">
        <v>1190</v>
      </c>
      <c r="AZ401" s="72" t="s">
        <v>1143</v>
      </c>
      <c r="BA401" s="49" t="s">
        <v>226</v>
      </c>
      <c r="BC401" s="37">
        <f t="shared" si="487"/>
        <v>0</v>
      </c>
      <c r="BD401" s="37">
        <f t="shared" si="488"/>
        <v>0</v>
      </c>
      <c r="BE401" s="37">
        <v>0</v>
      </c>
      <c r="BF401" s="37">
        <f>401</f>
        <v>401</v>
      </c>
      <c r="BH401" s="37">
        <f t="shared" si="489"/>
        <v>0</v>
      </c>
      <c r="BI401" s="37">
        <f t="shared" si="490"/>
        <v>0</v>
      </c>
      <c r="BJ401" s="37">
        <f t="shared" si="491"/>
        <v>0</v>
      </c>
      <c r="BK401" s="37"/>
      <c r="BL401" s="37">
        <v>96</v>
      </c>
      <c r="BW401" s="37">
        <v>21</v>
      </c>
      <c r="BX401" s="3" t="s">
        <v>1292</v>
      </c>
    </row>
    <row r="402" spans="1:76" x14ac:dyDescent="0.25">
      <c r="A402" s="1" t="s">
        <v>1293</v>
      </c>
      <c r="B402" s="2" t="s">
        <v>1294</v>
      </c>
      <c r="C402" s="279" t="s">
        <v>1295</v>
      </c>
      <c r="D402" s="280"/>
      <c r="E402" s="2" t="s">
        <v>296</v>
      </c>
      <c r="F402" s="37">
        <v>7.9799999999999996E-2</v>
      </c>
      <c r="G402" s="78">
        <v>0</v>
      </c>
      <c r="H402" s="37">
        <f t="shared" si="470"/>
        <v>0</v>
      </c>
      <c r="I402" s="37">
        <f t="shared" si="471"/>
        <v>0</v>
      </c>
      <c r="J402" s="37">
        <f t="shared" si="472"/>
        <v>0</v>
      </c>
      <c r="K402" s="79" t="s">
        <v>223</v>
      </c>
      <c r="Z402" s="37">
        <f t="shared" si="473"/>
        <v>0</v>
      </c>
      <c r="AB402" s="37">
        <f t="shared" si="474"/>
        <v>0</v>
      </c>
      <c r="AC402" s="37">
        <f t="shared" si="475"/>
        <v>0</v>
      </c>
      <c r="AD402" s="37">
        <f t="shared" si="476"/>
        <v>0</v>
      </c>
      <c r="AE402" s="37">
        <f t="shared" si="477"/>
        <v>0</v>
      </c>
      <c r="AF402" s="37">
        <f t="shared" si="478"/>
        <v>0</v>
      </c>
      <c r="AG402" s="37">
        <f t="shared" si="479"/>
        <v>0</v>
      </c>
      <c r="AH402" s="37">
        <f t="shared" si="480"/>
        <v>0</v>
      </c>
      <c r="AI402" s="49" t="s">
        <v>89</v>
      </c>
      <c r="AJ402" s="37">
        <f t="shared" si="481"/>
        <v>0</v>
      </c>
      <c r="AK402" s="37">
        <f t="shared" si="482"/>
        <v>0</v>
      </c>
      <c r="AL402" s="37">
        <f t="shared" si="483"/>
        <v>0</v>
      </c>
      <c r="AN402" s="37">
        <v>21</v>
      </c>
      <c r="AO402" s="37">
        <f t="shared" ref="AO402:AO407" si="494">G402*0</f>
        <v>0</v>
      </c>
      <c r="AP402" s="37">
        <f t="shared" ref="AP402:AP407" si="495">G402*(1-0)</f>
        <v>0</v>
      </c>
      <c r="AQ402" s="72" t="s">
        <v>237</v>
      </c>
      <c r="AV402" s="37">
        <f t="shared" si="484"/>
        <v>0</v>
      </c>
      <c r="AW402" s="37">
        <f t="shared" si="485"/>
        <v>0</v>
      </c>
      <c r="AX402" s="37">
        <f t="shared" si="486"/>
        <v>0</v>
      </c>
      <c r="AY402" s="72" t="s">
        <v>1190</v>
      </c>
      <c r="AZ402" s="72" t="s">
        <v>1143</v>
      </c>
      <c r="BA402" s="49" t="s">
        <v>226</v>
      </c>
      <c r="BC402" s="37">
        <f t="shared" si="487"/>
        <v>0</v>
      </c>
      <c r="BD402" s="37">
        <f t="shared" si="488"/>
        <v>0</v>
      </c>
      <c r="BE402" s="37">
        <v>0</v>
      </c>
      <c r="BF402" s="37">
        <f>402</f>
        <v>402</v>
      </c>
      <c r="BH402" s="37">
        <f t="shared" si="489"/>
        <v>0</v>
      </c>
      <c r="BI402" s="37">
        <f t="shared" si="490"/>
        <v>0</v>
      </c>
      <c r="BJ402" s="37">
        <f t="shared" si="491"/>
        <v>0</v>
      </c>
      <c r="BK402" s="37"/>
      <c r="BL402" s="37">
        <v>96</v>
      </c>
      <c r="BW402" s="37">
        <v>21</v>
      </c>
      <c r="BX402" s="3" t="s">
        <v>1295</v>
      </c>
    </row>
    <row r="403" spans="1:76" x14ac:dyDescent="0.25">
      <c r="A403" s="1" t="s">
        <v>1296</v>
      </c>
      <c r="B403" s="2" t="s">
        <v>1297</v>
      </c>
      <c r="C403" s="279" t="s">
        <v>1298</v>
      </c>
      <c r="D403" s="280"/>
      <c r="E403" s="2" t="s">
        <v>296</v>
      </c>
      <c r="F403" s="37">
        <v>73.759399999999999</v>
      </c>
      <c r="G403" s="78">
        <v>0</v>
      </c>
      <c r="H403" s="37">
        <f t="shared" si="470"/>
        <v>0</v>
      </c>
      <c r="I403" s="37">
        <f t="shared" si="471"/>
        <v>0</v>
      </c>
      <c r="J403" s="37">
        <f t="shared" si="472"/>
        <v>0</v>
      </c>
      <c r="K403" s="79" t="s">
        <v>223</v>
      </c>
      <c r="Z403" s="37">
        <f t="shared" si="473"/>
        <v>0</v>
      </c>
      <c r="AB403" s="37">
        <f t="shared" si="474"/>
        <v>0</v>
      </c>
      <c r="AC403" s="37">
        <f t="shared" si="475"/>
        <v>0</v>
      </c>
      <c r="AD403" s="37">
        <f t="shared" si="476"/>
        <v>0</v>
      </c>
      <c r="AE403" s="37">
        <f t="shared" si="477"/>
        <v>0</v>
      </c>
      <c r="AF403" s="37">
        <f t="shared" si="478"/>
        <v>0</v>
      </c>
      <c r="AG403" s="37">
        <f t="shared" si="479"/>
        <v>0</v>
      </c>
      <c r="AH403" s="37">
        <f t="shared" si="480"/>
        <v>0</v>
      </c>
      <c r="AI403" s="49" t="s">
        <v>89</v>
      </c>
      <c r="AJ403" s="37">
        <f t="shared" si="481"/>
        <v>0</v>
      </c>
      <c r="AK403" s="37">
        <f t="shared" si="482"/>
        <v>0</v>
      </c>
      <c r="AL403" s="37">
        <f t="shared" si="483"/>
        <v>0</v>
      </c>
      <c r="AN403" s="37">
        <v>21</v>
      </c>
      <c r="AO403" s="37">
        <f t="shared" si="494"/>
        <v>0</v>
      </c>
      <c r="AP403" s="37">
        <f t="shared" si="495"/>
        <v>0</v>
      </c>
      <c r="AQ403" s="72" t="s">
        <v>237</v>
      </c>
      <c r="AV403" s="37">
        <f t="shared" si="484"/>
        <v>0</v>
      </c>
      <c r="AW403" s="37">
        <f t="shared" si="485"/>
        <v>0</v>
      </c>
      <c r="AX403" s="37">
        <f t="shared" si="486"/>
        <v>0</v>
      </c>
      <c r="AY403" s="72" t="s">
        <v>1190</v>
      </c>
      <c r="AZ403" s="72" t="s">
        <v>1143</v>
      </c>
      <c r="BA403" s="49" t="s">
        <v>226</v>
      </c>
      <c r="BC403" s="37">
        <f t="shared" si="487"/>
        <v>0</v>
      </c>
      <c r="BD403" s="37">
        <f t="shared" si="488"/>
        <v>0</v>
      </c>
      <c r="BE403" s="37">
        <v>0</v>
      </c>
      <c r="BF403" s="37">
        <f>403</f>
        <v>403</v>
      </c>
      <c r="BH403" s="37">
        <f t="shared" si="489"/>
        <v>0</v>
      </c>
      <c r="BI403" s="37">
        <f t="shared" si="490"/>
        <v>0</v>
      </c>
      <c r="BJ403" s="37">
        <f t="shared" si="491"/>
        <v>0</v>
      </c>
      <c r="BK403" s="37"/>
      <c r="BL403" s="37">
        <v>96</v>
      </c>
      <c r="BW403" s="37">
        <v>21</v>
      </c>
      <c r="BX403" s="3" t="s">
        <v>1298</v>
      </c>
    </row>
    <row r="404" spans="1:76" x14ac:dyDescent="0.25">
      <c r="A404" s="1" t="s">
        <v>1299</v>
      </c>
      <c r="B404" s="2" t="s">
        <v>1300</v>
      </c>
      <c r="C404" s="279" t="s">
        <v>1301</v>
      </c>
      <c r="D404" s="280"/>
      <c r="E404" s="2" t="s">
        <v>296</v>
      </c>
      <c r="F404" s="37">
        <v>73.759399999999999</v>
      </c>
      <c r="G404" s="78">
        <v>0</v>
      </c>
      <c r="H404" s="37">
        <f t="shared" si="470"/>
        <v>0</v>
      </c>
      <c r="I404" s="37">
        <f t="shared" si="471"/>
        <v>0</v>
      </c>
      <c r="J404" s="37">
        <f t="shared" si="472"/>
        <v>0</v>
      </c>
      <c r="K404" s="79" t="s">
        <v>223</v>
      </c>
      <c r="Z404" s="37">
        <f t="shared" si="473"/>
        <v>0</v>
      </c>
      <c r="AB404" s="37">
        <f t="shared" si="474"/>
        <v>0</v>
      </c>
      <c r="AC404" s="37">
        <f t="shared" si="475"/>
        <v>0</v>
      </c>
      <c r="AD404" s="37">
        <f t="shared" si="476"/>
        <v>0</v>
      </c>
      <c r="AE404" s="37">
        <f t="shared" si="477"/>
        <v>0</v>
      </c>
      <c r="AF404" s="37">
        <f t="shared" si="478"/>
        <v>0</v>
      </c>
      <c r="AG404" s="37">
        <f t="shared" si="479"/>
        <v>0</v>
      </c>
      <c r="AH404" s="37">
        <f t="shared" si="480"/>
        <v>0</v>
      </c>
      <c r="AI404" s="49" t="s">
        <v>89</v>
      </c>
      <c r="AJ404" s="37">
        <f t="shared" si="481"/>
        <v>0</v>
      </c>
      <c r="AK404" s="37">
        <f t="shared" si="482"/>
        <v>0</v>
      </c>
      <c r="AL404" s="37">
        <f t="shared" si="483"/>
        <v>0</v>
      </c>
      <c r="AN404" s="37">
        <v>21</v>
      </c>
      <c r="AO404" s="37">
        <f t="shared" si="494"/>
        <v>0</v>
      </c>
      <c r="AP404" s="37">
        <f t="shared" si="495"/>
        <v>0</v>
      </c>
      <c r="AQ404" s="72" t="s">
        <v>237</v>
      </c>
      <c r="AV404" s="37">
        <f t="shared" si="484"/>
        <v>0</v>
      </c>
      <c r="AW404" s="37">
        <f t="shared" si="485"/>
        <v>0</v>
      </c>
      <c r="AX404" s="37">
        <f t="shared" si="486"/>
        <v>0</v>
      </c>
      <c r="AY404" s="72" t="s">
        <v>1190</v>
      </c>
      <c r="AZ404" s="72" t="s">
        <v>1143</v>
      </c>
      <c r="BA404" s="49" t="s">
        <v>226</v>
      </c>
      <c r="BC404" s="37">
        <f t="shared" si="487"/>
        <v>0</v>
      </c>
      <c r="BD404" s="37">
        <f t="shared" si="488"/>
        <v>0</v>
      </c>
      <c r="BE404" s="37">
        <v>0</v>
      </c>
      <c r="BF404" s="37">
        <f>404</f>
        <v>404</v>
      </c>
      <c r="BH404" s="37">
        <f t="shared" si="489"/>
        <v>0</v>
      </c>
      <c r="BI404" s="37">
        <f t="shared" si="490"/>
        <v>0</v>
      </c>
      <c r="BJ404" s="37">
        <f t="shared" si="491"/>
        <v>0</v>
      </c>
      <c r="BK404" s="37"/>
      <c r="BL404" s="37">
        <v>96</v>
      </c>
      <c r="BW404" s="37">
        <v>21</v>
      </c>
      <c r="BX404" s="3" t="s">
        <v>1301</v>
      </c>
    </row>
    <row r="405" spans="1:76" x14ac:dyDescent="0.25">
      <c r="A405" s="1" t="s">
        <v>1302</v>
      </c>
      <c r="B405" s="2" t="s">
        <v>1303</v>
      </c>
      <c r="C405" s="279" t="s">
        <v>1304</v>
      </c>
      <c r="D405" s="280"/>
      <c r="E405" s="2" t="s">
        <v>296</v>
      </c>
      <c r="F405" s="37">
        <v>1475.1880000000001</v>
      </c>
      <c r="G405" s="78">
        <v>0</v>
      </c>
      <c r="H405" s="37">
        <f t="shared" si="470"/>
        <v>0</v>
      </c>
      <c r="I405" s="37">
        <f t="shared" si="471"/>
        <v>0</v>
      </c>
      <c r="J405" s="37">
        <f t="shared" si="472"/>
        <v>0</v>
      </c>
      <c r="K405" s="79" t="s">
        <v>223</v>
      </c>
      <c r="Z405" s="37">
        <f t="shared" si="473"/>
        <v>0</v>
      </c>
      <c r="AB405" s="37">
        <f t="shared" si="474"/>
        <v>0</v>
      </c>
      <c r="AC405" s="37">
        <f t="shared" si="475"/>
        <v>0</v>
      </c>
      <c r="AD405" s="37">
        <f t="shared" si="476"/>
        <v>0</v>
      </c>
      <c r="AE405" s="37">
        <f t="shared" si="477"/>
        <v>0</v>
      </c>
      <c r="AF405" s="37">
        <f t="shared" si="478"/>
        <v>0</v>
      </c>
      <c r="AG405" s="37">
        <f t="shared" si="479"/>
        <v>0</v>
      </c>
      <c r="AH405" s="37">
        <f t="shared" si="480"/>
        <v>0</v>
      </c>
      <c r="AI405" s="49" t="s">
        <v>89</v>
      </c>
      <c r="AJ405" s="37">
        <f t="shared" si="481"/>
        <v>0</v>
      </c>
      <c r="AK405" s="37">
        <f t="shared" si="482"/>
        <v>0</v>
      </c>
      <c r="AL405" s="37">
        <f t="shared" si="483"/>
        <v>0</v>
      </c>
      <c r="AN405" s="37">
        <v>21</v>
      </c>
      <c r="AO405" s="37">
        <f t="shared" si="494"/>
        <v>0</v>
      </c>
      <c r="AP405" s="37">
        <f t="shared" si="495"/>
        <v>0</v>
      </c>
      <c r="AQ405" s="72" t="s">
        <v>237</v>
      </c>
      <c r="AV405" s="37">
        <f t="shared" si="484"/>
        <v>0</v>
      </c>
      <c r="AW405" s="37">
        <f t="shared" si="485"/>
        <v>0</v>
      </c>
      <c r="AX405" s="37">
        <f t="shared" si="486"/>
        <v>0</v>
      </c>
      <c r="AY405" s="72" t="s">
        <v>1190</v>
      </c>
      <c r="AZ405" s="72" t="s">
        <v>1143</v>
      </c>
      <c r="BA405" s="49" t="s">
        <v>226</v>
      </c>
      <c r="BC405" s="37">
        <f t="shared" si="487"/>
        <v>0</v>
      </c>
      <c r="BD405" s="37">
        <f t="shared" si="488"/>
        <v>0</v>
      </c>
      <c r="BE405" s="37">
        <v>0</v>
      </c>
      <c r="BF405" s="37">
        <f>405</f>
        <v>405</v>
      </c>
      <c r="BH405" s="37">
        <f t="shared" si="489"/>
        <v>0</v>
      </c>
      <c r="BI405" s="37">
        <f t="shared" si="490"/>
        <v>0</v>
      </c>
      <c r="BJ405" s="37">
        <f t="shared" si="491"/>
        <v>0</v>
      </c>
      <c r="BK405" s="37"/>
      <c r="BL405" s="37">
        <v>96</v>
      </c>
      <c r="BW405" s="37">
        <v>21</v>
      </c>
      <c r="BX405" s="3" t="s">
        <v>1304</v>
      </c>
    </row>
    <row r="406" spans="1:76" x14ac:dyDescent="0.25">
      <c r="A406" s="1" t="s">
        <v>1305</v>
      </c>
      <c r="B406" s="2" t="s">
        <v>1306</v>
      </c>
      <c r="C406" s="279" t="s">
        <v>1307</v>
      </c>
      <c r="D406" s="280"/>
      <c r="E406" s="2" t="s">
        <v>296</v>
      </c>
      <c r="F406" s="37">
        <v>73.759399999999999</v>
      </c>
      <c r="G406" s="78">
        <v>0</v>
      </c>
      <c r="H406" s="37">
        <f t="shared" si="470"/>
        <v>0</v>
      </c>
      <c r="I406" s="37">
        <f t="shared" si="471"/>
        <v>0</v>
      </c>
      <c r="J406" s="37">
        <f t="shared" si="472"/>
        <v>0</v>
      </c>
      <c r="K406" s="79" t="s">
        <v>223</v>
      </c>
      <c r="Z406" s="37">
        <f t="shared" si="473"/>
        <v>0</v>
      </c>
      <c r="AB406" s="37">
        <f t="shared" si="474"/>
        <v>0</v>
      </c>
      <c r="AC406" s="37">
        <f t="shared" si="475"/>
        <v>0</v>
      </c>
      <c r="AD406" s="37">
        <f t="shared" si="476"/>
        <v>0</v>
      </c>
      <c r="AE406" s="37">
        <f t="shared" si="477"/>
        <v>0</v>
      </c>
      <c r="AF406" s="37">
        <f t="shared" si="478"/>
        <v>0</v>
      </c>
      <c r="AG406" s="37">
        <f t="shared" si="479"/>
        <v>0</v>
      </c>
      <c r="AH406" s="37">
        <f t="shared" si="480"/>
        <v>0</v>
      </c>
      <c r="AI406" s="49" t="s">
        <v>89</v>
      </c>
      <c r="AJ406" s="37">
        <f t="shared" si="481"/>
        <v>0</v>
      </c>
      <c r="AK406" s="37">
        <f t="shared" si="482"/>
        <v>0</v>
      </c>
      <c r="AL406" s="37">
        <f t="shared" si="483"/>
        <v>0</v>
      </c>
      <c r="AN406" s="37">
        <v>21</v>
      </c>
      <c r="AO406" s="37">
        <f t="shared" si="494"/>
        <v>0</v>
      </c>
      <c r="AP406" s="37">
        <f t="shared" si="495"/>
        <v>0</v>
      </c>
      <c r="AQ406" s="72" t="s">
        <v>237</v>
      </c>
      <c r="AV406" s="37">
        <f t="shared" si="484"/>
        <v>0</v>
      </c>
      <c r="AW406" s="37">
        <f t="shared" si="485"/>
        <v>0</v>
      </c>
      <c r="AX406" s="37">
        <f t="shared" si="486"/>
        <v>0</v>
      </c>
      <c r="AY406" s="72" t="s">
        <v>1190</v>
      </c>
      <c r="AZ406" s="72" t="s">
        <v>1143</v>
      </c>
      <c r="BA406" s="49" t="s">
        <v>226</v>
      </c>
      <c r="BC406" s="37">
        <f t="shared" si="487"/>
        <v>0</v>
      </c>
      <c r="BD406" s="37">
        <f t="shared" si="488"/>
        <v>0</v>
      </c>
      <c r="BE406" s="37">
        <v>0</v>
      </c>
      <c r="BF406" s="37">
        <f>406</f>
        <v>406</v>
      </c>
      <c r="BH406" s="37">
        <f t="shared" si="489"/>
        <v>0</v>
      </c>
      <c r="BI406" s="37">
        <f t="shared" si="490"/>
        <v>0</v>
      </c>
      <c r="BJ406" s="37">
        <f t="shared" si="491"/>
        <v>0</v>
      </c>
      <c r="BK406" s="37"/>
      <c r="BL406" s="37">
        <v>96</v>
      </c>
      <c r="BW406" s="37">
        <v>21</v>
      </c>
      <c r="BX406" s="3" t="s">
        <v>1307</v>
      </c>
    </row>
    <row r="407" spans="1:76" x14ac:dyDescent="0.25">
      <c r="A407" s="1" t="s">
        <v>1308</v>
      </c>
      <c r="B407" s="2" t="s">
        <v>1309</v>
      </c>
      <c r="C407" s="279" t="s">
        <v>1310</v>
      </c>
      <c r="D407" s="280"/>
      <c r="E407" s="2" t="s">
        <v>296</v>
      </c>
      <c r="F407" s="37">
        <v>73.759399999999999</v>
      </c>
      <c r="G407" s="78">
        <v>0</v>
      </c>
      <c r="H407" s="37">
        <f t="shared" si="470"/>
        <v>0</v>
      </c>
      <c r="I407" s="37">
        <f t="shared" si="471"/>
        <v>0</v>
      </c>
      <c r="J407" s="37">
        <f t="shared" si="472"/>
        <v>0</v>
      </c>
      <c r="K407" s="79" t="s">
        <v>223</v>
      </c>
      <c r="Z407" s="37">
        <f t="shared" si="473"/>
        <v>0</v>
      </c>
      <c r="AB407" s="37">
        <f t="shared" si="474"/>
        <v>0</v>
      </c>
      <c r="AC407" s="37">
        <f t="shared" si="475"/>
        <v>0</v>
      </c>
      <c r="AD407" s="37">
        <f t="shared" si="476"/>
        <v>0</v>
      </c>
      <c r="AE407" s="37">
        <f t="shared" si="477"/>
        <v>0</v>
      </c>
      <c r="AF407" s="37">
        <f t="shared" si="478"/>
        <v>0</v>
      </c>
      <c r="AG407" s="37">
        <f t="shared" si="479"/>
        <v>0</v>
      </c>
      <c r="AH407" s="37">
        <f t="shared" si="480"/>
        <v>0</v>
      </c>
      <c r="AI407" s="49" t="s">
        <v>89</v>
      </c>
      <c r="AJ407" s="37">
        <f t="shared" si="481"/>
        <v>0</v>
      </c>
      <c r="AK407" s="37">
        <f t="shared" si="482"/>
        <v>0</v>
      </c>
      <c r="AL407" s="37">
        <f t="shared" si="483"/>
        <v>0</v>
      </c>
      <c r="AN407" s="37">
        <v>21</v>
      </c>
      <c r="AO407" s="37">
        <f t="shared" si="494"/>
        <v>0</v>
      </c>
      <c r="AP407" s="37">
        <f t="shared" si="495"/>
        <v>0</v>
      </c>
      <c r="AQ407" s="72" t="s">
        <v>237</v>
      </c>
      <c r="AV407" s="37">
        <f t="shared" si="484"/>
        <v>0</v>
      </c>
      <c r="AW407" s="37">
        <f t="shared" si="485"/>
        <v>0</v>
      </c>
      <c r="AX407" s="37">
        <f t="shared" si="486"/>
        <v>0</v>
      </c>
      <c r="AY407" s="72" t="s">
        <v>1190</v>
      </c>
      <c r="AZ407" s="72" t="s">
        <v>1143</v>
      </c>
      <c r="BA407" s="49" t="s">
        <v>226</v>
      </c>
      <c r="BC407" s="37">
        <f t="shared" si="487"/>
        <v>0</v>
      </c>
      <c r="BD407" s="37">
        <f t="shared" si="488"/>
        <v>0</v>
      </c>
      <c r="BE407" s="37">
        <v>0</v>
      </c>
      <c r="BF407" s="37">
        <f>407</f>
        <v>407</v>
      </c>
      <c r="BH407" s="37">
        <f t="shared" si="489"/>
        <v>0</v>
      </c>
      <c r="BI407" s="37">
        <f t="shared" si="490"/>
        <v>0</v>
      </c>
      <c r="BJ407" s="37">
        <f t="shared" si="491"/>
        <v>0</v>
      </c>
      <c r="BK407" s="37"/>
      <c r="BL407" s="37">
        <v>96</v>
      </c>
      <c r="BW407" s="37">
        <v>21</v>
      </c>
      <c r="BX407" s="3" t="s">
        <v>1310</v>
      </c>
    </row>
    <row r="408" spans="1:76" x14ac:dyDescent="0.25">
      <c r="A408" s="80" t="s">
        <v>4</v>
      </c>
      <c r="B408" s="81" t="s">
        <v>179</v>
      </c>
      <c r="C408" s="365" t="s">
        <v>180</v>
      </c>
      <c r="D408" s="366"/>
      <c r="E408" s="82" t="s">
        <v>81</v>
      </c>
      <c r="F408" s="82" t="s">
        <v>81</v>
      </c>
      <c r="G408" s="83" t="s">
        <v>81</v>
      </c>
      <c r="H408" s="43">
        <f>SUM(H409:H409)</f>
        <v>0</v>
      </c>
      <c r="I408" s="43">
        <f>SUM(I409:I409)</f>
        <v>0</v>
      </c>
      <c r="J408" s="43">
        <f>SUM(J409:J409)</f>
        <v>0</v>
      </c>
      <c r="K408" s="84" t="s">
        <v>4</v>
      </c>
      <c r="AI408" s="49" t="s">
        <v>89</v>
      </c>
      <c r="AS408" s="43">
        <f>SUM(AJ409:AJ409)</f>
        <v>0</v>
      </c>
      <c r="AT408" s="43">
        <f>SUM(AK409:AK409)</f>
        <v>0</v>
      </c>
      <c r="AU408" s="43">
        <f>SUM(AL409:AL409)</f>
        <v>0</v>
      </c>
    </row>
    <row r="409" spans="1:76" x14ac:dyDescent="0.25">
      <c r="A409" s="1" t="s">
        <v>1311</v>
      </c>
      <c r="B409" s="2" t="s">
        <v>1312</v>
      </c>
      <c r="C409" s="279" t="s">
        <v>1313</v>
      </c>
      <c r="D409" s="280"/>
      <c r="E409" s="2" t="s">
        <v>803</v>
      </c>
      <c r="F409" s="37">
        <v>1</v>
      </c>
      <c r="G409" s="78">
        <f>Elektroinstalace!J28</f>
        <v>0</v>
      </c>
      <c r="H409" s="37">
        <f>F409*AO409</f>
        <v>0</v>
      </c>
      <c r="I409" s="37">
        <f>F409*AP409</f>
        <v>0</v>
      </c>
      <c r="J409" s="37">
        <f>F409*G409</f>
        <v>0</v>
      </c>
      <c r="K409" s="79" t="s">
        <v>334</v>
      </c>
      <c r="Z409" s="37">
        <f>IF(AQ409="5",BJ409,0)</f>
        <v>0</v>
      </c>
      <c r="AB409" s="37">
        <f>IF(AQ409="1",BH409,0)</f>
        <v>0</v>
      </c>
      <c r="AC409" s="37">
        <f>IF(AQ409="1",BI409,0)</f>
        <v>0</v>
      </c>
      <c r="AD409" s="37">
        <f>IF(AQ409="7",BH409,0)</f>
        <v>0</v>
      </c>
      <c r="AE409" s="37">
        <f>IF(AQ409="7",BI409,0)</f>
        <v>0</v>
      </c>
      <c r="AF409" s="37">
        <f>IF(AQ409="2",BH409,0)</f>
        <v>0</v>
      </c>
      <c r="AG409" s="37">
        <f>IF(AQ409="2",BI409,0)</f>
        <v>0</v>
      </c>
      <c r="AH409" s="37">
        <f>IF(AQ409="0",BJ409,0)</f>
        <v>0</v>
      </c>
      <c r="AI409" s="49" t="s">
        <v>89</v>
      </c>
      <c r="AJ409" s="37">
        <f>IF(AN409=0,J409,0)</f>
        <v>0</v>
      </c>
      <c r="AK409" s="37">
        <f>IF(AN409=12,J409,0)</f>
        <v>0</v>
      </c>
      <c r="AL409" s="37">
        <f>IF(AN409=21,J409,0)</f>
        <v>0</v>
      </c>
      <c r="AN409" s="37">
        <v>21</v>
      </c>
      <c r="AO409" s="37">
        <f>G409*0</f>
        <v>0</v>
      </c>
      <c r="AP409" s="37">
        <f>G409*(1-0)</f>
        <v>0</v>
      </c>
      <c r="AQ409" s="72" t="s">
        <v>227</v>
      </c>
      <c r="AV409" s="37">
        <f>AW409+AX409</f>
        <v>0</v>
      </c>
      <c r="AW409" s="37">
        <f>F409*AO409</f>
        <v>0</v>
      </c>
      <c r="AX409" s="37">
        <f>F409*AP409</f>
        <v>0</v>
      </c>
      <c r="AY409" s="72" t="s">
        <v>1314</v>
      </c>
      <c r="AZ409" s="72" t="s">
        <v>1143</v>
      </c>
      <c r="BA409" s="49" t="s">
        <v>226</v>
      </c>
      <c r="BC409" s="37">
        <f>AW409+AX409</f>
        <v>0</v>
      </c>
      <c r="BD409" s="37">
        <f>G409/(100-BE409)*100</f>
        <v>0</v>
      </c>
      <c r="BE409" s="37">
        <v>0</v>
      </c>
      <c r="BF409" s="37">
        <f>409</f>
        <v>409</v>
      </c>
      <c r="BH409" s="37">
        <f>F409*AO409</f>
        <v>0</v>
      </c>
      <c r="BI409" s="37">
        <f>F409*AP409</f>
        <v>0</v>
      </c>
      <c r="BJ409" s="37">
        <f>F409*G409</f>
        <v>0</v>
      </c>
      <c r="BK409" s="37"/>
      <c r="BL409" s="37"/>
      <c r="BW409" s="37">
        <v>21</v>
      </c>
      <c r="BX409" s="3" t="s">
        <v>1313</v>
      </c>
    </row>
    <row r="410" spans="1:76" x14ac:dyDescent="0.25">
      <c r="A410" s="80" t="s">
        <v>4</v>
      </c>
      <c r="B410" s="81" t="s">
        <v>181</v>
      </c>
      <c r="C410" s="365" t="s">
        <v>59</v>
      </c>
      <c r="D410" s="366"/>
      <c r="E410" s="82" t="s">
        <v>81</v>
      </c>
      <c r="F410" s="82" t="s">
        <v>81</v>
      </c>
      <c r="G410" s="83" t="s">
        <v>81</v>
      </c>
      <c r="H410" s="43">
        <f>H411+H414+H416+H418</f>
        <v>0</v>
      </c>
      <c r="I410" s="43">
        <f>I411+I414+I416+I418</f>
        <v>0</v>
      </c>
      <c r="J410" s="43">
        <f>J411+J414+J416+J418</f>
        <v>0</v>
      </c>
      <c r="K410" s="84" t="s">
        <v>4</v>
      </c>
      <c r="AI410" s="49" t="s">
        <v>89</v>
      </c>
    </row>
    <row r="411" spans="1:76" x14ac:dyDescent="0.25">
      <c r="A411" s="80" t="s">
        <v>4</v>
      </c>
      <c r="B411" s="81" t="s">
        <v>182</v>
      </c>
      <c r="C411" s="365" t="s">
        <v>70</v>
      </c>
      <c r="D411" s="366"/>
      <c r="E411" s="82" t="s">
        <v>81</v>
      </c>
      <c r="F411" s="82" t="s">
        <v>81</v>
      </c>
      <c r="G411" s="83" t="s">
        <v>81</v>
      </c>
      <c r="H411" s="43">
        <f>SUM(H412:H413)</f>
        <v>0</v>
      </c>
      <c r="I411" s="43">
        <f>SUM(I412:I413)</f>
        <v>0</v>
      </c>
      <c r="J411" s="43">
        <f>SUM(J412:J413)</f>
        <v>0</v>
      </c>
      <c r="K411" s="84" t="s">
        <v>4</v>
      </c>
      <c r="AI411" s="49" t="s">
        <v>89</v>
      </c>
      <c r="AS411" s="43">
        <f>SUM(AJ412:AJ413)</f>
        <v>0</v>
      </c>
      <c r="AT411" s="43">
        <f>SUM(AK412:AK413)</f>
        <v>0</v>
      </c>
      <c r="AU411" s="43">
        <f>SUM(AL412:AL413)</f>
        <v>0</v>
      </c>
    </row>
    <row r="412" spans="1:76" x14ac:dyDescent="0.25">
      <c r="A412" s="1" t="s">
        <v>1315</v>
      </c>
      <c r="B412" s="2" t="s">
        <v>1316</v>
      </c>
      <c r="C412" s="279" t="s">
        <v>1317</v>
      </c>
      <c r="D412" s="280"/>
      <c r="E412" s="2" t="s">
        <v>1318</v>
      </c>
      <c r="F412" s="37">
        <v>1</v>
      </c>
      <c r="G412" s="78">
        <v>0</v>
      </c>
      <c r="H412" s="37">
        <f>F412*AO412</f>
        <v>0</v>
      </c>
      <c r="I412" s="37">
        <f>F412*AP412</f>
        <v>0</v>
      </c>
      <c r="J412" s="37">
        <f>F412*G412</f>
        <v>0</v>
      </c>
      <c r="K412" s="79" t="s">
        <v>4</v>
      </c>
      <c r="Z412" s="37">
        <f>IF(AQ412="5",BJ412,0)</f>
        <v>0</v>
      </c>
      <c r="AB412" s="37">
        <f>IF(AQ412="1",BH412,0)</f>
        <v>0</v>
      </c>
      <c r="AC412" s="37">
        <f>IF(AQ412="1",BI412,0)</f>
        <v>0</v>
      </c>
      <c r="AD412" s="37">
        <f>IF(AQ412="7",BH412,0)</f>
        <v>0</v>
      </c>
      <c r="AE412" s="37">
        <f>IF(AQ412="7",BI412,0)</f>
        <v>0</v>
      </c>
      <c r="AF412" s="37">
        <f>IF(AQ412="2",BH412,0)</f>
        <v>0</v>
      </c>
      <c r="AG412" s="37">
        <f>IF(AQ412="2",BI412,0)</f>
        <v>0</v>
      </c>
      <c r="AH412" s="37">
        <f>IF(AQ412="0",BJ412,0)</f>
        <v>0</v>
      </c>
      <c r="AI412" s="49" t="s">
        <v>89</v>
      </c>
      <c r="AJ412" s="37">
        <f>IF(AN412=0,J412,0)</f>
        <v>0</v>
      </c>
      <c r="AK412" s="37">
        <f>IF(AN412=12,J412,0)</f>
        <v>0</v>
      </c>
      <c r="AL412" s="37">
        <f>IF(AN412=21,J412,0)</f>
        <v>0</v>
      </c>
      <c r="AN412" s="37">
        <v>21</v>
      </c>
      <c r="AO412" s="37">
        <f>G412*0</f>
        <v>0</v>
      </c>
      <c r="AP412" s="37">
        <f>G412*(1-0)</f>
        <v>0</v>
      </c>
      <c r="AQ412" s="72" t="s">
        <v>519</v>
      </c>
      <c r="AV412" s="37">
        <f>AW412+AX412</f>
        <v>0</v>
      </c>
      <c r="AW412" s="37">
        <f>F412*AO412</f>
        <v>0</v>
      </c>
      <c r="AX412" s="37">
        <f>F412*AP412</f>
        <v>0</v>
      </c>
      <c r="AY412" s="72" t="s">
        <v>1319</v>
      </c>
      <c r="AZ412" s="72" t="s">
        <v>1320</v>
      </c>
      <c r="BA412" s="49" t="s">
        <v>226</v>
      </c>
      <c r="BC412" s="37">
        <f>AW412+AX412</f>
        <v>0</v>
      </c>
      <c r="BD412" s="37">
        <f>G412/(100-BE412)*100</f>
        <v>0</v>
      </c>
      <c r="BE412" s="37">
        <v>0</v>
      </c>
      <c r="BF412" s="37">
        <f>412</f>
        <v>412</v>
      </c>
      <c r="BH412" s="37">
        <f>F412*AO412</f>
        <v>0</v>
      </c>
      <c r="BI412" s="37">
        <f>F412*AP412</f>
        <v>0</v>
      </c>
      <c r="BJ412" s="37">
        <f>F412*G412</f>
        <v>0</v>
      </c>
      <c r="BK412" s="37"/>
      <c r="BL412" s="37"/>
      <c r="BM412" s="37">
        <f>F412*G412</f>
        <v>0</v>
      </c>
      <c r="BW412" s="37">
        <v>21</v>
      </c>
      <c r="BX412" s="3" t="s">
        <v>1317</v>
      </c>
    </row>
    <row r="413" spans="1:76" x14ac:dyDescent="0.25">
      <c r="A413" s="1" t="s">
        <v>1321</v>
      </c>
      <c r="B413" s="2" t="s">
        <v>1316</v>
      </c>
      <c r="C413" s="279" t="s">
        <v>1322</v>
      </c>
      <c r="D413" s="280"/>
      <c r="E413" s="2" t="s">
        <v>1318</v>
      </c>
      <c r="F413" s="37">
        <v>1</v>
      </c>
      <c r="G413" s="78">
        <v>0</v>
      </c>
      <c r="H413" s="37">
        <f>F413*AO413</f>
        <v>0</v>
      </c>
      <c r="I413" s="37">
        <f>F413*AP413</f>
        <v>0</v>
      </c>
      <c r="J413" s="37">
        <f>F413*G413</f>
        <v>0</v>
      </c>
      <c r="K413" s="79" t="s">
        <v>4</v>
      </c>
      <c r="Z413" s="37">
        <f>IF(AQ413="5",BJ413,0)</f>
        <v>0</v>
      </c>
      <c r="AB413" s="37">
        <f>IF(AQ413="1",BH413,0)</f>
        <v>0</v>
      </c>
      <c r="AC413" s="37">
        <f>IF(AQ413="1",BI413,0)</f>
        <v>0</v>
      </c>
      <c r="AD413" s="37">
        <f>IF(AQ413="7",BH413,0)</f>
        <v>0</v>
      </c>
      <c r="AE413" s="37">
        <f>IF(AQ413="7",BI413,0)</f>
        <v>0</v>
      </c>
      <c r="AF413" s="37">
        <f>IF(AQ413="2",BH413,0)</f>
        <v>0</v>
      </c>
      <c r="AG413" s="37">
        <f>IF(AQ413="2",BI413,0)</f>
        <v>0</v>
      </c>
      <c r="AH413" s="37">
        <f>IF(AQ413="0",BJ413,0)</f>
        <v>0</v>
      </c>
      <c r="AI413" s="49" t="s">
        <v>89</v>
      </c>
      <c r="AJ413" s="37">
        <f>IF(AN413=0,J413,0)</f>
        <v>0</v>
      </c>
      <c r="AK413" s="37">
        <f>IF(AN413=12,J413,0)</f>
        <v>0</v>
      </c>
      <c r="AL413" s="37">
        <f>IF(AN413=21,J413,0)</f>
        <v>0</v>
      </c>
      <c r="AN413" s="37">
        <v>21</v>
      </c>
      <c r="AO413" s="37">
        <f>G413*0</f>
        <v>0</v>
      </c>
      <c r="AP413" s="37">
        <f>G413*(1-0)</f>
        <v>0</v>
      </c>
      <c r="AQ413" s="72" t="s">
        <v>519</v>
      </c>
      <c r="AV413" s="37">
        <f>AW413+AX413</f>
        <v>0</v>
      </c>
      <c r="AW413" s="37">
        <f>F413*AO413</f>
        <v>0</v>
      </c>
      <c r="AX413" s="37">
        <f>F413*AP413</f>
        <v>0</v>
      </c>
      <c r="AY413" s="72" t="s">
        <v>1319</v>
      </c>
      <c r="AZ413" s="72" t="s">
        <v>1320</v>
      </c>
      <c r="BA413" s="49" t="s">
        <v>226</v>
      </c>
      <c r="BC413" s="37">
        <f>AW413+AX413</f>
        <v>0</v>
      </c>
      <c r="BD413" s="37">
        <f>G413/(100-BE413)*100</f>
        <v>0</v>
      </c>
      <c r="BE413" s="37">
        <v>0</v>
      </c>
      <c r="BF413" s="37">
        <f>413</f>
        <v>413</v>
      </c>
      <c r="BH413" s="37">
        <f>F413*AO413</f>
        <v>0</v>
      </c>
      <c r="BI413" s="37">
        <f>F413*AP413</f>
        <v>0</v>
      </c>
      <c r="BJ413" s="37">
        <f>F413*G413</f>
        <v>0</v>
      </c>
      <c r="BK413" s="37"/>
      <c r="BL413" s="37"/>
      <c r="BM413" s="37">
        <f>F413*G413</f>
        <v>0</v>
      </c>
      <c r="BW413" s="37">
        <v>21</v>
      </c>
      <c r="BX413" s="3" t="s">
        <v>1322</v>
      </c>
    </row>
    <row r="414" spans="1:76" x14ac:dyDescent="0.25">
      <c r="A414" s="80" t="s">
        <v>4</v>
      </c>
      <c r="B414" s="81" t="s">
        <v>183</v>
      </c>
      <c r="C414" s="365" t="s">
        <v>26</v>
      </c>
      <c r="D414" s="366"/>
      <c r="E414" s="82" t="s">
        <v>81</v>
      </c>
      <c r="F414" s="82" t="s">
        <v>81</v>
      </c>
      <c r="G414" s="83" t="s">
        <v>81</v>
      </c>
      <c r="H414" s="43">
        <f>SUM(H415:H415)</f>
        <v>0</v>
      </c>
      <c r="I414" s="43">
        <f>SUM(I415:I415)</f>
        <v>0</v>
      </c>
      <c r="J414" s="43">
        <f>SUM(J415:J415)</f>
        <v>0</v>
      </c>
      <c r="K414" s="84" t="s">
        <v>4</v>
      </c>
      <c r="AI414" s="49" t="s">
        <v>89</v>
      </c>
      <c r="AS414" s="43">
        <f>SUM(AJ415:AJ415)</f>
        <v>0</v>
      </c>
      <c r="AT414" s="43">
        <f>SUM(AK415:AK415)</f>
        <v>0</v>
      </c>
      <c r="AU414" s="43">
        <f>SUM(AL415:AL415)</f>
        <v>0</v>
      </c>
    </row>
    <row r="415" spans="1:76" x14ac:dyDescent="0.25">
      <c r="A415" s="1" t="s">
        <v>1323</v>
      </c>
      <c r="B415" s="2" t="s">
        <v>1324</v>
      </c>
      <c r="C415" s="279" t="s">
        <v>26</v>
      </c>
      <c r="D415" s="280"/>
      <c r="E415" s="2" t="s">
        <v>1318</v>
      </c>
      <c r="F415" s="37">
        <v>1</v>
      </c>
      <c r="G415" s="78">
        <v>0</v>
      </c>
      <c r="H415" s="37">
        <f>F415*AO415</f>
        <v>0</v>
      </c>
      <c r="I415" s="37">
        <f>F415*AP415</f>
        <v>0</v>
      </c>
      <c r="J415" s="37">
        <f>F415*G415</f>
        <v>0</v>
      </c>
      <c r="K415" s="79" t="s">
        <v>4</v>
      </c>
      <c r="Z415" s="37">
        <f>IF(AQ415="5",BJ415,0)</f>
        <v>0</v>
      </c>
      <c r="AB415" s="37">
        <f>IF(AQ415="1",BH415,0)</f>
        <v>0</v>
      </c>
      <c r="AC415" s="37">
        <f>IF(AQ415="1",BI415,0)</f>
        <v>0</v>
      </c>
      <c r="AD415" s="37">
        <f>IF(AQ415="7",BH415,0)</f>
        <v>0</v>
      </c>
      <c r="AE415" s="37">
        <f>IF(AQ415="7",BI415,0)</f>
        <v>0</v>
      </c>
      <c r="AF415" s="37">
        <f>IF(AQ415="2",BH415,0)</f>
        <v>0</v>
      </c>
      <c r="AG415" s="37">
        <f>IF(AQ415="2",BI415,0)</f>
        <v>0</v>
      </c>
      <c r="AH415" s="37">
        <f>IF(AQ415="0",BJ415,0)</f>
        <v>0</v>
      </c>
      <c r="AI415" s="49" t="s">
        <v>89</v>
      </c>
      <c r="AJ415" s="37">
        <f>IF(AN415=0,J415,0)</f>
        <v>0</v>
      </c>
      <c r="AK415" s="37">
        <f>IF(AN415=12,J415,0)</f>
        <v>0</v>
      </c>
      <c r="AL415" s="37">
        <f>IF(AN415=21,J415,0)</f>
        <v>0</v>
      </c>
      <c r="AN415" s="37">
        <v>21</v>
      </c>
      <c r="AO415" s="37">
        <f>G415*0</f>
        <v>0</v>
      </c>
      <c r="AP415" s="37">
        <f>G415*(1-0)</f>
        <v>0</v>
      </c>
      <c r="AQ415" s="72" t="s">
        <v>519</v>
      </c>
      <c r="AV415" s="37">
        <f>AW415+AX415</f>
        <v>0</v>
      </c>
      <c r="AW415" s="37">
        <f>F415*AO415</f>
        <v>0</v>
      </c>
      <c r="AX415" s="37">
        <f>F415*AP415</f>
        <v>0</v>
      </c>
      <c r="AY415" s="72" t="s">
        <v>1325</v>
      </c>
      <c r="AZ415" s="72" t="s">
        <v>1320</v>
      </c>
      <c r="BA415" s="49" t="s">
        <v>226</v>
      </c>
      <c r="BC415" s="37">
        <f>AW415+AX415</f>
        <v>0</v>
      </c>
      <c r="BD415" s="37">
        <f>G415/(100-BE415)*100</f>
        <v>0</v>
      </c>
      <c r="BE415" s="37">
        <v>0</v>
      </c>
      <c r="BF415" s="37">
        <f>415</f>
        <v>415</v>
      </c>
      <c r="BH415" s="37">
        <f>F415*AO415</f>
        <v>0</v>
      </c>
      <c r="BI415" s="37">
        <f>F415*AP415</f>
        <v>0</v>
      </c>
      <c r="BJ415" s="37">
        <f>F415*G415</f>
        <v>0</v>
      </c>
      <c r="BK415" s="37"/>
      <c r="BL415" s="37"/>
      <c r="BO415" s="37">
        <f>F415*G415</f>
        <v>0</v>
      </c>
      <c r="BW415" s="37">
        <v>21</v>
      </c>
      <c r="BX415" s="3" t="s">
        <v>26</v>
      </c>
    </row>
    <row r="416" spans="1:76" x14ac:dyDescent="0.25">
      <c r="A416" s="80" t="s">
        <v>4</v>
      </c>
      <c r="B416" s="81" t="s">
        <v>184</v>
      </c>
      <c r="C416" s="365" t="s">
        <v>72</v>
      </c>
      <c r="D416" s="366"/>
      <c r="E416" s="82" t="s">
        <v>81</v>
      </c>
      <c r="F416" s="82" t="s">
        <v>81</v>
      </c>
      <c r="G416" s="83" t="s">
        <v>81</v>
      </c>
      <c r="H416" s="43">
        <f>SUM(H417:H417)</f>
        <v>0</v>
      </c>
      <c r="I416" s="43">
        <f>SUM(I417:I417)</f>
        <v>0</v>
      </c>
      <c r="J416" s="43">
        <f>SUM(J417:J417)</f>
        <v>0</v>
      </c>
      <c r="K416" s="84" t="s">
        <v>4</v>
      </c>
      <c r="AI416" s="49" t="s">
        <v>89</v>
      </c>
      <c r="AS416" s="43">
        <f>SUM(AJ417:AJ417)</f>
        <v>0</v>
      </c>
      <c r="AT416" s="43">
        <f>SUM(AK417:AK417)</f>
        <v>0</v>
      </c>
      <c r="AU416" s="43">
        <f>SUM(AL417:AL417)</f>
        <v>0</v>
      </c>
    </row>
    <row r="417" spans="1:76" x14ac:dyDescent="0.25">
      <c r="A417" s="1" t="s">
        <v>1326</v>
      </c>
      <c r="B417" s="2" t="s">
        <v>1327</v>
      </c>
      <c r="C417" s="279" t="s">
        <v>1328</v>
      </c>
      <c r="D417" s="280"/>
      <c r="E417" s="2" t="s">
        <v>1318</v>
      </c>
      <c r="F417" s="37">
        <v>1</v>
      </c>
      <c r="G417" s="78">
        <v>0</v>
      </c>
      <c r="H417" s="37">
        <f>F417*AO417</f>
        <v>0</v>
      </c>
      <c r="I417" s="37">
        <f>F417*AP417</f>
        <v>0</v>
      </c>
      <c r="J417" s="37">
        <f>F417*G417</f>
        <v>0</v>
      </c>
      <c r="K417" s="79" t="s">
        <v>4</v>
      </c>
      <c r="Z417" s="37">
        <f>IF(AQ417="5",BJ417,0)</f>
        <v>0</v>
      </c>
      <c r="AB417" s="37">
        <f>IF(AQ417="1",BH417,0)</f>
        <v>0</v>
      </c>
      <c r="AC417" s="37">
        <f>IF(AQ417="1",BI417,0)</f>
        <v>0</v>
      </c>
      <c r="AD417" s="37">
        <f>IF(AQ417="7",BH417,0)</f>
        <v>0</v>
      </c>
      <c r="AE417" s="37">
        <f>IF(AQ417="7",BI417,0)</f>
        <v>0</v>
      </c>
      <c r="AF417" s="37">
        <f>IF(AQ417="2",BH417,0)</f>
        <v>0</v>
      </c>
      <c r="AG417" s="37">
        <f>IF(AQ417="2",BI417,0)</f>
        <v>0</v>
      </c>
      <c r="AH417" s="37">
        <f>IF(AQ417="0",BJ417,0)</f>
        <v>0</v>
      </c>
      <c r="AI417" s="49" t="s">
        <v>89</v>
      </c>
      <c r="AJ417" s="37">
        <f>IF(AN417=0,J417,0)</f>
        <v>0</v>
      </c>
      <c r="AK417" s="37">
        <f>IF(AN417=12,J417,0)</f>
        <v>0</v>
      </c>
      <c r="AL417" s="37">
        <f>IF(AN417=21,J417,0)</f>
        <v>0</v>
      </c>
      <c r="AN417" s="37">
        <v>21</v>
      </c>
      <c r="AO417" s="37">
        <f>G417*0</f>
        <v>0</v>
      </c>
      <c r="AP417" s="37">
        <f>G417*(1-0)</f>
        <v>0</v>
      </c>
      <c r="AQ417" s="72" t="s">
        <v>519</v>
      </c>
      <c r="AV417" s="37">
        <f>AW417+AX417</f>
        <v>0</v>
      </c>
      <c r="AW417" s="37">
        <f>F417*AO417</f>
        <v>0</v>
      </c>
      <c r="AX417" s="37">
        <f>F417*AP417</f>
        <v>0</v>
      </c>
      <c r="AY417" s="72" t="s">
        <v>1329</v>
      </c>
      <c r="AZ417" s="72" t="s">
        <v>1320</v>
      </c>
      <c r="BA417" s="49" t="s">
        <v>226</v>
      </c>
      <c r="BC417" s="37">
        <f>AW417+AX417</f>
        <v>0</v>
      </c>
      <c r="BD417" s="37">
        <f>G417/(100-BE417)*100</f>
        <v>0</v>
      </c>
      <c r="BE417" s="37">
        <v>0</v>
      </c>
      <c r="BF417" s="37">
        <f>417</f>
        <v>417</v>
      </c>
      <c r="BH417" s="37">
        <f>F417*AO417</f>
        <v>0</v>
      </c>
      <c r="BI417" s="37">
        <f>F417*AP417</f>
        <v>0</v>
      </c>
      <c r="BJ417" s="37">
        <f>F417*G417</f>
        <v>0</v>
      </c>
      <c r="BK417" s="37"/>
      <c r="BL417" s="37"/>
      <c r="BP417" s="37">
        <f>F417*G417</f>
        <v>0</v>
      </c>
      <c r="BW417" s="37">
        <v>21</v>
      </c>
      <c r="BX417" s="3" t="s">
        <v>1328</v>
      </c>
    </row>
    <row r="418" spans="1:76" x14ac:dyDescent="0.25">
      <c r="A418" s="80" t="s">
        <v>4</v>
      </c>
      <c r="B418" s="81" t="s">
        <v>185</v>
      </c>
      <c r="C418" s="365" t="s">
        <v>33</v>
      </c>
      <c r="D418" s="366"/>
      <c r="E418" s="82" t="s">
        <v>81</v>
      </c>
      <c r="F418" s="82" t="s">
        <v>81</v>
      </c>
      <c r="G418" s="83" t="s">
        <v>81</v>
      </c>
      <c r="H418" s="43">
        <f>SUM(H419:H421)</f>
        <v>0</v>
      </c>
      <c r="I418" s="43">
        <f>SUM(I419:I421)</f>
        <v>0</v>
      </c>
      <c r="J418" s="43">
        <f>SUM(J419:J421)</f>
        <v>0</v>
      </c>
      <c r="K418" s="84" t="s">
        <v>4</v>
      </c>
      <c r="AI418" s="49" t="s">
        <v>89</v>
      </c>
      <c r="AS418" s="43">
        <f>SUM(AJ419:AJ421)</f>
        <v>0</v>
      </c>
      <c r="AT418" s="43">
        <f>SUM(AK419:AK421)</f>
        <v>0</v>
      </c>
      <c r="AU418" s="43">
        <f>SUM(AL419:AL421)</f>
        <v>0</v>
      </c>
    </row>
    <row r="419" spans="1:76" x14ac:dyDescent="0.25">
      <c r="A419" s="1" t="s">
        <v>1330</v>
      </c>
      <c r="B419" s="2" t="s">
        <v>1331</v>
      </c>
      <c r="C419" s="279" t="s">
        <v>1332</v>
      </c>
      <c r="D419" s="280"/>
      <c r="E419" s="2" t="s">
        <v>1318</v>
      </c>
      <c r="F419" s="37">
        <v>1</v>
      </c>
      <c r="G419" s="78">
        <v>0</v>
      </c>
      <c r="H419" s="37">
        <f>F419*AO419</f>
        <v>0</v>
      </c>
      <c r="I419" s="37">
        <f>F419*AP419</f>
        <v>0</v>
      </c>
      <c r="J419" s="37">
        <f>F419*G419</f>
        <v>0</v>
      </c>
      <c r="K419" s="79" t="s">
        <v>4</v>
      </c>
      <c r="Z419" s="37">
        <f>IF(AQ419="5",BJ419,0)</f>
        <v>0</v>
      </c>
      <c r="AB419" s="37">
        <f>IF(AQ419="1",BH419,0)</f>
        <v>0</v>
      </c>
      <c r="AC419" s="37">
        <f>IF(AQ419="1",BI419,0)</f>
        <v>0</v>
      </c>
      <c r="AD419" s="37">
        <f>IF(AQ419="7",BH419,0)</f>
        <v>0</v>
      </c>
      <c r="AE419" s="37">
        <f>IF(AQ419="7",BI419,0)</f>
        <v>0</v>
      </c>
      <c r="AF419" s="37">
        <f>IF(AQ419="2",BH419,0)</f>
        <v>0</v>
      </c>
      <c r="AG419" s="37">
        <f>IF(AQ419="2",BI419,0)</f>
        <v>0</v>
      </c>
      <c r="AH419" s="37">
        <f>IF(AQ419="0",BJ419,0)</f>
        <v>0</v>
      </c>
      <c r="AI419" s="49" t="s">
        <v>89</v>
      </c>
      <c r="AJ419" s="37">
        <f>IF(AN419=0,J419,0)</f>
        <v>0</v>
      </c>
      <c r="AK419" s="37">
        <f>IF(AN419=12,J419,0)</f>
        <v>0</v>
      </c>
      <c r="AL419" s="37">
        <f>IF(AN419=21,J419,0)</f>
        <v>0</v>
      </c>
      <c r="AN419" s="37">
        <v>21</v>
      </c>
      <c r="AO419" s="37">
        <f>G419*0</f>
        <v>0</v>
      </c>
      <c r="AP419" s="37">
        <f>G419*(1-0)</f>
        <v>0</v>
      </c>
      <c r="AQ419" s="72" t="s">
        <v>519</v>
      </c>
      <c r="AV419" s="37">
        <f>AW419+AX419</f>
        <v>0</v>
      </c>
      <c r="AW419" s="37">
        <f>F419*AO419</f>
        <v>0</v>
      </c>
      <c r="AX419" s="37">
        <f>F419*AP419</f>
        <v>0</v>
      </c>
      <c r="AY419" s="72" t="s">
        <v>1333</v>
      </c>
      <c r="AZ419" s="72" t="s">
        <v>1320</v>
      </c>
      <c r="BA419" s="49" t="s">
        <v>226</v>
      </c>
      <c r="BC419" s="37">
        <f>AW419+AX419</f>
        <v>0</v>
      </c>
      <c r="BD419" s="37">
        <f>G419/(100-BE419)*100</f>
        <v>0</v>
      </c>
      <c r="BE419" s="37">
        <v>0</v>
      </c>
      <c r="BF419" s="37">
        <f>419</f>
        <v>419</v>
      </c>
      <c r="BH419" s="37">
        <f>F419*AO419</f>
        <v>0</v>
      </c>
      <c r="BI419" s="37">
        <f>F419*AP419</f>
        <v>0</v>
      </c>
      <c r="BJ419" s="37">
        <f>F419*G419</f>
        <v>0</v>
      </c>
      <c r="BK419" s="37"/>
      <c r="BL419" s="37"/>
      <c r="BS419" s="37">
        <f>F419*G419</f>
        <v>0</v>
      </c>
      <c r="BW419" s="37">
        <v>21</v>
      </c>
      <c r="BX419" s="3" t="s">
        <v>1332</v>
      </c>
    </row>
    <row r="420" spans="1:76" x14ac:dyDescent="0.25">
      <c r="A420" s="1" t="s">
        <v>1334</v>
      </c>
      <c r="B420" s="2" t="s">
        <v>1335</v>
      </c>
      <c r="C420" s="279" t="s">
        <v>1336</v>
      </c>
      <c r="D420" s="280"/>
      <c r="E420" s="2" t="s">
        <v>1318</v>
      </c>
      <c r="F420" s="37">
        <v>1</v>
      </c>
      <c r="G420" s="78">
        <v>0</v>
      </c>
      <c r="H420" s="37">
        <f>F420*AO420</f>
        <v>0</v>
      </c>
      <c r="I420" s="37">
        <f>F420*AP420</f>
        <v>0</v>
      </c>
      <c r="J420" s="37">
        <f>F420*G420</f>
        <v>0</v>
      </c>
      <c r="K420" s="79" t="s">
        <v>4</v>
      </c>
      <c r="Z420" s="37">
        <f>IF(AQ420="5",BJ420,0)</f>
        <v>0</v>
      </c>
      <c r="AB420" s="37">
        <f>IF(AQ420="1",BH420,0)</f>
        <v>0</v>
      </c>
      <c r="AC420" s="37">
        <f>IF(AQ420="1",BI420,0)</f>
        <v>0</v>
      </c>
      <c r="AD420" s="37">
        <f>IF(AQ420="7",BH420,0)</f>
        <v>0</v>
      </c>
      <c r="AE420" s="37">
        <f>IF(AQ420="7",BI420,0)</f>
        <v>0</v>
      </c>
      <c r="AF420" s="37">
        <f>IF(AQ420="2",BH420,0)</f>
        <v>0</v>
      </c>
      <c r="AG420" s="37">
        <f>IF(AQ420="2",BI420,0)</f>
        <v>0</v>
      </c>
      <c r="AH420" s="37">
        <f>IF(AQ420="0",BJ420,0)</f>
        <v>0</v>
      </c>
      <c r="AI420" s="49" t="s">
        <v>89</v>
      </c>
      <c r="AJ420" s="37">
        <f>IF(AN420=0,J420,0)</f>
        <v>0</v>
      </c>
      <c r="AK420" s="37">
        <f>IF(AN420=12,J420,0)</f>
        <v>0</v>
      </c>
      <c r="AL420" s="37">
        <f>IF(AN420=21,J420,0)</f>
        <v>0</v>
      </c>
      <c r="AN420" s="37">
        <v>21</v>
      </c>
      <c r="AO420" s="37">
        <f>G420*0</f>
        <v>0</v>
      </c>
      <c r="AP420" s="37">
        <f>G420*(1-0)</f>
        <v>0</v>
      </c>
      <c r="AQ420" s="72" t="s">
        <v>519</v>
      </c>
      <c r="AV420" s="37">
        <f>AW420+AX420</f>
        <v>0</v>
      </c>
      <c r="AW420" s="37">
        <f>F420*AO420</f>
        <v>0</v>
      </c>
      <c r="AX420" s="37">
        <f>F420*AP420</f>
        <v>0</v>
      </c>
      <c r="AY420" s="72" t="s">
        <v>1333</v>
      </c>
      <c r="AZ420" s="72" t="s">
        <v>1320</v>
      </c>
      <c r="BA420" s="49" t="s">
        <v>226</v>
      </c>
      <c r="BC420" s="37">
        <f>AW420+AX420</f>
        <v>0</v>
      </c>
      <c r="BD420" s="37">
        <f>G420/(100-BE420)*100</f>
        <v>0</v>
      </c>
      <c r="BE420" s="37">
        <v>0</v>
      </c>
      <c r="BF420" s="37">
        <f>420</f>
        <v>420</v>
      </c>
      <c r="BH420" s="37">
        <f>F420*AO420</f>
        <v>0</v>
      </c>
      <c r="BI420" s="37">
        <f>F420*AP420</f>
        <v>0</v>
      </c>
      <c r="BJ420" s="37">
        <f>F420*G420</f>
        <v>0</v>
      </c>
      <c r="BK420" s="37"/>
      <c r="BL420" s="37"/>
      <c r="BS420" s="37">
        <f>F420*G420</f>
        <v>0</v>
      </c>
      <c r="BW420" s="37">
        <v>21</v>
      </c>
      <c r="BX420" s="3" t="s">
        <v>1336</v>
      </c>
    </row>
    <row r="421" spans="1:76" x14ac:dyDescent="0.25">
      <c r="A421" s="4" t="s">
        <v>1337</v>
      </c>
      <c r="B421" s="5" t="s">
        <v>1338</v>
      </c>
      <c r="C421" s="364" t="s">
        <v>1339</v>
      </c>
      <c r="D421" s="316"/>
      <c r="E421" s="5" t="s">
        <v>1318</v>
      </c>
      <c r="F421" s="39">
        <v>1</v>
      </c>
      <c r="G421" s="87">
        <v>0</v>
      </c>
      <c r="H421" s="39">
        <f>F421*AO421</f>
        <v>0</v>
      </c>
      <c r="I421" s="39">
        <f>F421*AP421</f>
        <v>0</v>
      </c>
      <c r="J421" s="39">
        <f>F421*G421</f>
        <v>0</v>
      </c>
      <c r="K421" s="88" t="s">
        <v>4</v>
      </c>
      <c r="Z421" s="37">
        <f>IF(AQ421="5",BJ421,0)</f>
        <v>0</v>
      </c>
      <c r="AB421" s="37">
        <f>IF(AQ421="1",BH421,0)</f>
        <v>0</v>
      </c>
      <c r="AC421" s="37">
        <f>IF(AQ421="1",BI421,0)</f>
        <v>0</v>
      </c>
      <c r="AD421" s="37">
        <f>IF(AQ421="7",BH421,0)</f>
        <v>0</v>
      </c>
      <c r="AE421" s="37">
        <f>IF(AQ421="7",BI421,0)</f>
        <v>0</v>
      </c>
      <c r="AF421" s="37">
        <f>IF(AQ421="2",BH421,0)</f>
        <v>0</v>
      </c>
      <c r="AG421" s="37">
        <f>IF(AQ421="2",BI421,0)</f>
        <v>0</v>
      </c>
      <c r="AH421" s="37">
        <f>IF(AQ421="0",BJ421,0)</f>
        <v>0</v>
      </c>
      <c r="AI421" s="49" t="s">
        <v>89</v>
      </c>
      <c r="AJ421" s="37">
        <f>IF(AN421=0,J421,0)</f>
        <v>0</v>
      </c>
      <c r="AK421" s="37">
        <f>IF(AN421=12,J421,0)</f>
        <v>0</v>
      </c>
      <c r="AL421" s="37">
        <f>IF(AN421=21,J421,0)</f>
        <v>0</v>
      </c>
      <c r="AN421" s="37">
        <v>21</v>
      </c>
      <c r="AO421" s="37">
        <f>G421*0</f>
        <v>0</v>
      </c>
      <c r="AP421" s="37">
        <f>G421*(1-0)</f>
        <v>0</v>
      </c>
      <c r="AQ421" s="72" t="s">
        <v>519</v>
      </c>
      <c r="AV421" s="37">
        <f>AW421+AX421</f>
        <v>0</v>
      </c>
      <c r="AW421" s="37">
        <f>F421*AO421</f>
        <v>0</v>
      </c>
      <c r="AX421" s="37">
        <f>F421*AP421</f>
        <v>0</v>
      </c>
      <c r="AY421" s="72" t="s">
        <v>1333</v>
      </c>
      <c r="AZ421" s="72" t="s">
        <v>1320</v>
      </c>
      <c r="BA421" s="49" t="s">
        <v>226</v>
      </c>
      <c r="BC421" s="37">
        <f>AW421+AX421</f>
        <v>0</v>
      </c>
      <c r="BD421" s="37">
        <f>G421/(100-BE421)*100</f>
        <v>0</v>
      </c>
      <c r="BE421" s="37">
        <v>0</v>
      </c>
      <c r="BF421" s="37">
        <f>421</f>
        <v>421</v>
      </c>
      <c r="BH421" s="37">
        <f>F421*AO421</f>
        <v>0</v>
      </c>
      <c r="BI421" s="37">
        <f>F421*AP421</f>
        <v>0</v>
      </c>
      <c r="BJ421" s="37">
        <f>F421*G421</f>
        <v>0</v>
      </c>
      <c r="BK421" s="37"/>
      <c r="BL421" s="37"/>
      <c r="BS421" s="37">
        <f>F421*G421</f>
        <v>0</v>
      </c>
      <c r="BW421" s="37">
        <v>21</v>
      </c>
      <c r="BX421" s="3" t="s">
        <v>1339</v>
      </c>
    </row>
    <row r="422" spans="1:76" x14ac:dyDescent="0.25">
      <c r="H422" s="350" t="s">
        <v>186</v>
      </c>
      <c r="I422" s="350"/>
      <c r="J422" s="41">
        <f>J13+J21+J24+J29+J32+J34+J36+J38+J48+J50+J63+J69+J79+J86+J93+J102+J108+J118+J125+J131+J137+J149+J169+J178+J194+J227+J231+J238+J257+J293+J300+J306+J310+J317+J321+J328+J331+J335+J337+J342+J348+J353+J359+J366+J408+J411+J414+J416+J418</f>
        <v>0</v>
      </c>
    </row>
    <row r="423" spans="1:76" x14ac:dyDescent="0.25">
      <c r="A423" s="42" t="s">
        <v>57</v>
      </c>
    </row>
    <row r="424" spans="1:76" ht="67.5" customHeight="1" x14ac:dyDescent="0.25">
      <c r="A424" s="279" t="s">
        <v>187</v>
      </c>
      <c r="B424" s="280"/>
      <c r="C424" s="280"/>
      <c r="D424" s="280"/>
      <c r="E424" s="280"/>
      <c r="F424" s="280"/>
      <c r="G424" s="280"/>
      <c r="H424" s="280"/>
      <c r="I424" s="280"/>
      <c r="J424" s="280"/>
      <c r="K424" s="280"/>
    </row>
  </sheetData>
  <sheetProtection password="CC89" sheet="1"/>
  <mergeCells count="440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49:D149"/>
    <mergeCell ref="C160:D160"/>
    <mergeCell ref="C161:D161"/>
    <mergeCell ref="C162:D162"/>
    <mergeCell ref="C163:D163"/>
    <mergeCell ref="C164:D164"/>
    <mergeCell ref="C155:D155"/>
    <mergeCell ref="C156:D156"/>
    <mergeCell ref="C157:D157"/>
    <mergeCell ref="C158:D158"/>
    <mergeCell ref="C159:D159"/>
    <mergeCell ref="C170:D170"/>
    <mergeCell ref="C171:D171"/>
    <mergeCell ref="C172:D172"/>
    <mergeCell ref="C173:D173"/>
    <mergeCell ref="C174:D174"/>
    <mergeCell ref="C165:D165"/>
    <mergeCell ref="C166:D166"/>
    <mergeCell ref="C167:D167"/>
    <mergeCell ref="C168:D168"/>
    <mergeCell ref="C169:D169"/>
    <mergeCell ref="C180:D180"/>
    <mergeCell ref="C181:D181"/>
    <mergeCell ref="C182:D182"/>
    <mergeCell ref="C183:D183"/>
    <mergeCell ref="C184:D184"/>
    <mergeCell ref="C175:D175"/>
    <mergeCell ref="C176:D176"/>
    <mergeCell ref="C177:D177"/>
    <mergeCell ref="C178:D178"/>
    <mergeCell ref="C179:D179"/>
    <mergeCell ref="C190:D190"/>
    <mergeCell ref="C191:D191"/>
    <mergeCell ref="C192:D192"/>
    <mergeCell ref="C193:D193"/>
    <mergeCell ref="C194:D194"/>
    <mergeCell ref="C185:D185"/>
    <mergeCell ref="C186:D186"/>
    <mergeCell ref="C187:D187"/>
    <mergeCell ref="C188:D188"/>
    <mergeCell ref="C189:D189"/>
    <mergeCell ref="C200:D200"/>
    <mergeCell ref="C201:D201"/>
    <mergeCell ref="C202:D202"/>
    <mergeCell ref="C203:D203"/>
    <mergeCell ref="C204:D204"/>
    <mergeCell ref="C195:D195"/>
    <mergeCell ref="C196:K196"/>
    <mergeCell ref="C197:D197"/>
    <mergeCell ref="C198:D198"/>
    <mergeCell ref="C199:D199"/>
    <mergeCell ref="C210:D210"/>
    <mergeCell ref="C211:D211"/>
    <mergeCell ref="C212:D212"/>
    <mergeCell ref="C213:D213"/>
    <mergeCell ref="C214:D214"/>
    <mergeCell ref="C205:D205"/>
    <mergeCell ref="C206:D206"/>
    <mergeCell ref="C207:D207"/>
    <mergeCell ref="C208:D208"/>
    <mergeCell ref="C209:D209"/>
    <mergeCell ref="C220:D220"/>
    <mergeCell ref="C221:D221"/>
    <mergeCell ref="C222:D222"/>
    <mergeCell ref="C223:D223"/>
    <mergeCell ref="C224:D224"/>
    <mergeCell ref="C215:D215"/>
    <mergeCell ref="C216:D216"/>
    <mergeCell ref="C217:D217"/>
    <mergeCell ref="C218:D218"/>
    <mergeCell ref="C219:D219"/>
    <mergeCell ref="C230:D230"/>
    <mergeCell ref="C231:D231"/>
    <mergeCell ref="C232:D232"/>
    <mergeCell ref="C233:D233"/>
    <mergeCell ref="C234:D234"/>
    <mergeCell ref="C225:D225"/>
    <mergeCell ref="C226:D226"/>
    <mergeCell ref="C227:D227"/>
    <mergeCell ref="C228:D228"/>
    <mergeCell ref="C229:D229"/>
    <mergeCell ref="C240:D240"/>
    <mergeCell ref="C241:D241"/>
    <mergeCell ref="C242:D242"/>
    <mergeCell ref="C243:D243"/>
    <mergeCell ref="C244:D244"/>
    <mergeCell ref="C235:D235"/>
    <mergeCell ref="C236:D236"/>
    <mergeCell ref="C237:D237"/>
    <mergeCell ref="C238:D238"/>
    <mergeCell ref="C239:D239"/>
    <mergeCell ref="C250:D250"/>
    <mergeCell ref="C251:D251"/>
    <mergeCell ref="C252:D252"/>
    <mergeCell ref="C253:D253"/>
    <mergeCell ref="C254:D254"/>
    <mergeCell ref="C245:D245"/>
    <mergeCell ref="C246:D246"/>
    <mergeCell ref="C247:D247"/>
    <mergeCell ref="C248:D248"/>
    <mergeCell ref="C249:D249"/>
    <mergeCell ref="C260:D260"/>
    <mergeCell ref="C261:D261"/>
    <mergeCell ref="C262:D262"/>
    <mergeCell ref="C263:D263"/>
    <mergeCell ref="C264:D264"/>
    <mergeCell ref="C255:D255"/>
    <mergeCell ref="C256:D256"/>
    <mergeCell ref="C257:D257"/>
    <mergeCell ref="C258:D258"/>
    <mergeCell ref="C259:D259"/>
    <mergeCell ref="C270:D270"/>
    <mergeCell ref="C271:D271"/>
    <mergeCell ref="C272:D272"/>
    <mergeCell ref="C273:D273"/>
    <mergeCell ref="C274:D274"/>
    <mergeCell ref="C265:D265"/>
    <mergeCell ref="C266:D266"/>
    <mergeCell ref="C267:D267"/>
    <mergeCell ref="C268:D268"/>
    <mergeCell ref="C269:D269"/>
    <mergeCell ref="C280:D280"/>
    <mergeCell ref="C281:D281"/>
    <mergeCell ref="C282:D282"/>
    <mergeCell ref="C283:D283"/>
    <mergeCell ref="C284:D284"/>
    <mergeCell ref="C275:D275"/>
    <mergeCell ref="C276:D276"/>
    <mergeCell ref="C277:D277"/>
    <mergeCell ref="C278:D278"/>
    <mergeCell ref="C279:D279"/>
    <mergeCell ref="C290:D290"/>
    <mergeCell ref="C291:D291"/>
    <mergeCell ref="C292:D292"/>
    <mergeCell ref="C293:D293"/>
    <mergeCell ref="C294:D294"/>
    <mergeCell ref="C285:D285"/>
    <mergeCell ref="C286:D286"/>
    <mergeCell ref="C287:D287"/>
    <mergeCell ref="C288:D288"/>
    <mergeCell ref="C289:D289"/>
    <mergeCell ref="C300:D300"/>
    <mergeCell ref="C301:D301"/>
    <mergeCell ref="C302:D302"/>
    <mergeCell ref="C303:D303"/>
    <mergeCell ref="C304:D304"/>
    <mergeCell ref="C295:D295"/>
    <mergeCell ref="C296:D296"/>
    <mergeCell ref="C297:D297"/>
    <mergeCell ref="C298:D298"/>
    <mergeCell ref="C299:D299"/>
    <mergeCell ref="C310:D310"/>
    <mergeCell ref="C311:D311"/>
    <mergeCell ref="C312:D312"/>
    <mergeCell ref="C313:D313"/>
    <mergeCell ref="C314:D314"/>
    <mergeCell ref="C305:D305"/>
    <mergeCell ref="C306:D306"/>
    <mergeCell ref="C307:D307"/>
    <mergeCell ref="C308:D308"/>
    <mergeCell ref="C309:D309"/>
    <mergeCell ref="C320:D320"/>
    <mergeCell ref="C321:D321"/>
    <mergeCell ref="C322:D322"/>
    <mergeCell ref="C323:D323"/>
    <mergeCell ref="C324:D324"/>
    <mergeCell ref="C315:D315"/>
    <mergeCell ref="C316:D316"/>
    <mergeCell ref="C317:D317"/>
    <mergeCell ref="C318:D318"/>
    <mergeCell ref="C319:D319"/>
    <mergeCell ref="C330:D330"/>
    <mergeCell ref="C331:D331"/>
    <mergeCell ref="C332:D332"/>
    <mergeCell ref="C333:D333"/>
    <mergeCell ref="C334:D334"/>
    <mergeCell ref="C325:D325"/>
    <mergeCell ref="C326:D326"/>
    <mergeCell ref="C327:D327"/>
    <mergeCell ref="C328:D328"/>
    <mergeCell ref="C329:D329"/>
    <mergeCell ref="C340:D340"/>
    <mergeCell ref="C341:D341"/>
    <mergeCell ref="C342:D342"/>
    <mergeCell ref="C343:D343"/>
    <mergeCell ref="C344:D344"/>
    <mergeCell ref="C335:D335"/>
    <mergeCell ref="C336:D336"/>
    <mergeCell ref="C337:D337"/>
    <mergeCell ref="C338:D338"/>
    <mergeCell ref="C339:D339"/>
    <mergeCell ref="C350:D350"/>
    <mergeCell ref="C351:D351"/>
    <mergeCell ref="C352:D352"/>
    <mergeCell ref="C353:D353"/>
    <mergeCell ref="C354:D354"/>
    <mergeCell ref="C345:D345"/>
    <mergeCell ref="C346:D346"/>
    <mergeCell ref="C347:D347"/>
    <mergeCell ref="C348:D348"/>
    <mergeCell ref="C349:D349"/>
    <mergeCell ref="C360:D360"/>
    <mergeCell ref="C361:D361"/>
    <mergeCell ref="C362:D362"/>
    <mergeCell ref="C363:D363"/>
    <mergeCell ref="C364:D364"/>
    <mergeCell ref="C355:D355"/>
    <mergeCell ref="C356:D356"/>
    <mergeCell ref="C357:D357"/>
    <mergeCell ref="C358:D358"/>
    <mergeCell ref="C359:D359"/>
    <mergeCell ref="C370:D370"/>
    <mergeCell ref="C371:D371"/>
    <mergeCell ref="C372:D372"/>
    <mergeCell ref="C373:D373"/>
    <mergeCell ref="C374:D374"/>
    <mergeCell ref="C365:D365"/>
    <mergeCell ref="C366:D366"/>
    <mergeCell ref="C367:D367"/>
    <mergeCell ref="C368:D368"/>
    <mergeCell ref="C369:D369"/>
    <mergeCell ref="C380:D380"/>
    <mergeCell ref="C381:D381"/>
    <mergeCell ref="C382:D382"/>
    <mergeCell ref="C383:D383"/>
    <mergeCell ref="C384:D384"/>
    <mergeCell ref="C375:D375"/>
    <mergeCell ref="C376:D376"/>
    <mergeCell ref="C377:D377"/>
    <mergeCell ref="C378:D378"/>
    <mergeCell ref="C379:D379"/>
    <mergeCell ref="C390:D390"/>
    <mergeCell ref="C391:D391"/>
    <mergeCell ref="C392:D392"/>
    <mergeCell ref="C393:D393"/>
    <mergeCell ref="C394:D394"/>
    <mergeCell ref="C385:D385"/>
    <mergeCell ref="C386:D386"/>
    <mergeCell ref="C387:D387"/>
    <mergeCell ref="C388:D388"/>
    <mergeCell ref="C389:D389"/>
    <mergeCell ref="C400:D400"/>
    <mergeCell ref="C401:D401"/>
    <mergeCell ref="C402:D402"/>
    <mergeCell ref="C403:D403"/>
    <mergeCell ref="C404:D404"/>
    <mergeCell ref="C395:D395"/>
    <mergeCell ref="C396:D396"/>
    <mergeCell ref="C397:D397"/>
    <mergeCell ref="C398:D398"/>
    <mergeCell ref="C399:D399"/>
    <mergeCell ref="C410:D410"/>
    <mergeCell ref="C411:D411"/>
    <mergeCell ref="C412:D412"/>
    <mergeCell ref="C413:D413"/>
    <mergeCell ref="C414:D414"/>
    <mergeCell ref="C405:D405"/>
    <mergeCell ref="C406:D406"/>
    <mergeCell ref="C407:D407"/>
    <mergeCell ref="C408:D408"/>
    <mergeCell ref="C409:D409"/>
    <mergeCell ref="C420:D420"/>
    <mergeCell ref="C421:D421"/>
    <mergeCell ref="H422:I422"/>
    <mergeCell ref="A424:K424"/>
    <mergeCell ref="C415:D415"/>
    <mergeCell ref="C416:D416"/>
    <mergeCell ref="C417:D417"/>
    <mergeCell ref="C418:D418"/>
    <mergeCell ref="C419:D41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70"/>
  <sheetViews>
    <sheetView workbookViewId="0">
      <selection activeCell="A970" sqref="A970:G970"/>
    </sheetView>
  </sheetViews>
  <sheetFormatPr defaultColWidth="12.140625" defaultRowHeight="15" customHeight="1" x14ac:dyDescent="0.25"/>
  <cols>
    <col min="1" max="2" width="9.140625" customWidth="1"/>
    <col min="3" max="3" width="14.28515625" customWidth="1"/>
    <col min="4" max="4" width="75.7109375" customWidth="1"/>
    <col min="5" max="5" width="25.42578125" customWidth="1"/>
    <col min="6" max="6" width="24.140625" customWidth="1"/>
    <col min="7" max="7" width="15.7109375" customWidth="1"/>
    <col min="8" max="8" width="20" customWidth="1"/>
  </cols>
  <sheetData>
    <row r="1" spans="1:8" ht="54.75" customHeight="1" x14ac:dyDescent="0.25">
      <c r="A1" s="321" t="s">
        <v>1340</v>
      </c>
      <c r="B1" s="321"/>
      <c r="C1" s="321"/>
      <c r="D1" s="321"/>
      <c r="E1" s="321"/>
      <c r="F1" s="321"/>
      <c r="G1" s="321"/>
      <c r="H1" s="321"/>
    </row>
    <row r="2" spans="1:8" x14ac:dyDescent="0.25">
      <c r="A2" s="322" t="s">
        <v>1</v>
      </c>
      <c r="B2" s="323"/>
      <c r="C2" s="328" t="str">
        <f>'Stavební rozpočet'!C2</f>
        <v>Stavební úpravy objektu čp. 80 se změnou užívání</v>
      </c>
      <c r="D2" s="329"/>
      <c r="E2" s="319" t="s">
        <v>2</v>
      </c>
      <c r="F2" s="319" t="str">
        <f>'Stavební rozpočet'!I2</f>
        <v>Obec Cetoraz, Cetoraz 206, Cetoraz</v>
      </c>
      <c r="G2" s="323"/>
      <c r="H2" s="325"/>
    </row>
    <row r="3" spans="1:8" ht="15" customHeight="1" x14ac:dyDescent="0.25">
      <c r="A3" s="324"/>
      <c r="B3" s="280"/>
      <c r="C3" s="330"/>
      <c r="D3" s="330"/>
      <c r="E3" s="280"/>
      <c r="F3" s="280"/>
      <c r="G3" s="280"/>
      <c r="H3" s="326"/>
    </row>
    <row r="4" spans="1:8" x14ac:dyDescent="0.25">
      <c r="A4" s="317" t="s">
        <v>5</v>
      </c>
      <c r="B4" s="280"/>
      <c r="C4" s="279" t="str">
        <f>'Stavební rozpočet'!C4</f>
        <v xml:space="preserve"> </v>
      </c>
      <c r="D4" s="280"/>
      <c r="E4" s="279" t="s">
        <v>6</v>
      </c>
      <c r="F4" s="279" t="str">
        <f>'Stavební rozpočet'!I4</f>
        <v>Ing. František Kovář, Dlouhá Lhota 6, Chýnov</v>
      </c>
      <c r="G4" s="280"/>
      <c r="H4" s="326"/>
    </row>
    <row r="5" spans="1:8" ht="15" customHeight="1" x14ac:dyDescent="0.25">
      <c r="A5" s="324"/>
      <c r="B5" s="280"/>
      <c r="C5" s="280"/>
      <c r="D5" s="280"/>
      <c r="E5" s="280"/>
      <c r="F5" s="280"/>
      <c r="G5" s="280"/>
      <c r="H5" s="326"/>
    </row>
    <row r="6" spans="1:8" x14ac:dyDescent="0.25">
      <c r="A6" s="317" t="s">
        <v>8</v>
      </c>
      <c r="B6" s="280"/>
      <c r="C6" s="279" t="str">
        <f>'Stavební rozpočet'!C6</f>
        <v>Cetoraz st.p.č. 89</v>
      </c>
      <c r="D6" s="280"/>
      <c r="E6" s="279" t="s">
        <v>9</v>
      </c>
      <c r="F6" s="279" t="str">
        <f>'Stavební rozpočet'!I6</f>
        <v> </v>
      </c>
      <c r="G6" s="280"/>
      <c r="H6" s="326"/>
    </row>
    <row r="7" spans="1:8" ht="15" customHeight="1" x14ac:dyDescent="0.25">
      <c r="A7" s="324"/>
      <c r="B7" s="280"/>
      <c r="C7" s="280"/>
      <c r="D7" s="280"/>
      <c r="E7" s="280"/>
      <c r="F7" s="280"/>
      <c r="G7" s="280"/>
      <c r="H7" s="326"/>
    </row>
    <row r="8" spans="1:8" x14ac:dyDescent="0.25">
      <c r="A8" s="317" t="s">
        <v>14</v>
      </c>
      <c r="B8" s="280"/>
      <c r="C8" s="279" t="str">
        <f>'Stavební rozpočet'!I8</f>
        <v>Alen Kadlecová</v>
      </c>
      <c r="D8" s="280"/>
      <c r="E8" s="279" t="s">
        <v>80</v>
      </c>
      <c r="F8" s="279" t="str">
        <f>'Stavební rozpočet'!G8</f>
        <v>02.12.2024</v>
      </c>
      <c r="G8" s="280"/>
      <c r="H8" s="326"/>
    </row>
    <row r="9" spans="1:8" x14ac:dyDescent="0.25">
      <c r="A9" s="363"/>
      <c r="B9" s="358"/>
      <c r="C9" s="358"/>
      <c r="D9" s="358"/>
      <c r="E9" s="358"/>
      <c r="F9" s="358"/>
      <c r="G9" s="358"/>
      <c r="H9" s="359"/>
    </row>
    <row r="10" spans="1:8" x14ac:dyDescent="0.25">
      <c r="A10" s="89" t="s">
        <v>196</v>
      </c>
      <c r="B10" s="90" t="s">
        <v>1341</v>
      </c>
      <c r="C10" s="90" t="s">
        <v>83</v>
      </c>
      <c r="D10" s="390" t="s">
        <v>84</v>
      </c>
      <c r="E10" s="391"/>
      <c r="F10" s="90" t="s">
        <v>197</v>
      </c>
      <c r="G10" s="91" t="s">
        <v>198</v>
      </c>
      <c r="H10" s="92" t="s">
        <v>1342</v>
      </c>
    </row>
    <row r="11" spans="1:8" x14ac:dyDescent="0.25">
      <c r="A11" s="93" t="s">
        <v>4</v>
      </c>
      <c r="B11" s="56" t="s">
        <v>1343</v>
      </c>
      <c r="C11" s="56" t="s">
        <v>90</v>
      </c>
      <c r="D11" s="375" t="s">
        <v>91</v>
      </c>
      <c r="E11" s="375"/>
      <c r="F11" s="56" t="s">
        <v>4</v>
      </c>
      <c r="G11" s="94" t="s">
        <v>4</v>
      </c>
      <c r="H11" s="60" t="s">
        <v>4</v>
      </c>
    </row>
    <row r="12" spans="1:8" x14ac:dyDescent="0.25">
      <c r="A12" s="95" t="s">
        <v>4</v>
      </c>
      <c r="B12" s="81" t="s">
        <v>1343</v>
      </c>
      <c r="C12" s="81" t="s">
        <v>93</v>
      </c>
      <c r="D12" s="366" t="s">
        <v>94</v>
      </c>
      <c r="E12" s="366"/>
      <c r="F12" s="81" t="s">
        <v>4</v>
      </c>
      <c r="G12" s="49" t="s">
        <v>4</v>
      </c>
      <c r="H12" s="84" t="s">
        <v>4</v>
      </c>
    </row>
    <row r="13" spans="1:8" x14ac:dyDescent="0.25">
      <c r="A13" s="95" t="s">
        <v>4</v>
      </c>
      <c r="B13" s="81" t="s">
        <v>1343</v>
      </c>
      <c r="C13" s="81" t="s">
        <v>95</v>
      </c>
      <c r="D13" s="366" t="s">
        <v>96</v>
      </c>
      <c r="E13" s="366"/>
      <c r="F13" s="81" t="s">
        <v>4</v>
      </c>
      <c r="G13" s="49" t="s">
        <v>4</v>
      </c>
      <c r="H13" s="84" t="s">
        <v>4</v>
      </c>
    </row>
    <row r="14" spans="1:8" x14ac:dyDescent="0.25">
      <c r="A14" s="95" t="s">
        <v>4</v>
      </c>
      <c r="B14" s="81" t="s">
        <v>1343</v>
      </c>
      <c r="C14" s="81" t="s">
        <v>97</v>
      </c>
      <c r="D14" s="366" t="s">
        <v>98</v>
      </c>
      <c r="E14" s="366"/>
      <c r="F14" s="81" t="s">
        <v>4</v>
      </c>
      <c r="G14" s="49" t="s">
        <v>4</v>
      </c>
      <c r="H14" s="84" t="s">
        <v>4</v>
      </c>
    </row>
    <row r="15" spans="1:8" x14ac:dyDescent="0.25">
      <c r="A15" s="95" t="s">
        <v>4</v>
      </c>
      <c r="B15" s="81" t="s">
        <v>1343</v>
      </c>
      <c r="C15" s="81" t="s">
        <v>99</v>
      </c>
      <c r="D15" s="366" t="s">
        <v>100</v>
      </c>
      <c r="E15" s="366"/>
      <c r="F15" s="81" t="s">
        <v>4</v>
      </c>
      <c r="G15" s="49" t="s">
        <v>4</v>
      </c>
      <c r="H15" s="84" t="s">
        <v>4</v>
      </c>
    </row>
    <row r="16" spans="1:8" x14ac:dyDescent="0.25">
      <c r="A16" s="95" t="s">
        <v>4</v>
      </c>
      <c r="B16" s="81" t="s">
        <v>1343</v>
      </c>
      <c r="C16" s="81" t="s">
        <v>101</v>
      </c>
      <c r="D16" s="366" t="s">
        <v>102</v>
      </c>
      <c r="E16" s="366"/>
      <c r="F16" s="81" t="s">
        <v>4</v>
      </c>
      <c r="G16" s="49" t="s">
        <v>4</v>
      </c>
      <c r="H16" s="84" t="s">
        <v>4</v>
      </c>
    </row>
    <row r="17" spans="1:8" x14ac:dyDescent="0.25">
      <c r="A17" s="95" t="s">
        <v>4</v>
      </c>
      <c r="B17" s="81" t="s">
        <v>1343</v>
      </c>
      <c r="C17" s="81" t="s">
        <v>103</v>
      </c>
      <c r="D17" s="366" t="s">
        <v>104</v>
      </c>
      <c r="E17" s="366"/>
      <c r="F17" s="81" t="s">
        <v>4</v>
      </c>
      <c r="G17" s="49" t="s">
        <v>4</v>
      </c>
      <c r="H17" s="84" t="s">
        <v>4</v>
      </c>
    </row>
    <row r="18" spans="1:8" x14ac:dyDescent="0.25">
      <c r="A18" s="95" t="s">
        <v>4</v>
      </c>
      <c r="B18" s="81" t="s">
        <v>1343</v>
      </c>
      <c r="C18" s="81" t="s">
        <v>105</v>
      </c>
      <c r="D18" s="366" t="s">
        <v>106</v>
      </c>
      <c r="E18" s="366"/>
      <c r="F18" s="81" t="s">
        <v>4</v>
      </c>
      <c r="G18" s="49" t="s">
        <v>4</v>
      </c>
      <c r="H18" s="84" t="s">
        <v>4</v>
      </c>
    </row>
    <row r="19" spans="1:8" x14ac:dyDescent="0.25">
      <c r="A19" s="95" t="s">
        <v>4</v>
      </c>
      <c r="B19" s="81" t="s">
        <v>1343</v>
      </c>
      <c r="C19" s="81" t="s">
        <v>107</v>
      </c>
      <c r="D19" s="366" t="s">
        <v>108</v>
      </c>
      <c r="E19" s="366"/>
      <c r="F19" s="81" t="s">
        <v>4</v>
      </c>
      <c r="G19" s="49" t="s">
        <v>4</v>
      </c>
      <c r="H19" s="84" t="s">
        <v>4</v>
      </c>
    </row>
    <row r="20" spans="1:8" x14ac:dyDescent="0.25">
      <c r="A20" s="95" t="s">
        <v>4</v>
      </c>
      <c r="B20" s="81" t="s">
        <v>1343</v>
      </c>
      <c r="C20" s="81" t="s">
        <v>109</v>
      </c>
      <c r="D20" s="366" t="s">
        <v>110</v>
      </c>
      <c r="E20" s="366"/>
      <c r="F20" s="81" t="s">
        <v>4</v>
      </c>
      <c r="G20" s="49" t="s">
        <v>4</v>
      </c>
      <c r="H20" s="84" t="s">
        <v>4</v>
      </c>
    </row>
    <row r="21" spans="1:8" x14ac:dyDescent="0.25">
      <c r="A21" s="95" t="s">
        <v>4</v>
      </c>
      <c r="B21" s="81" t="s">
        <v>1343</v>
      </c>
      <c r="C21" s="81" t="s">
        <v>111</v>
      </c>
      <c r="D21" s="366" t="s">
        <v>112</v>
      </c>
      <c r="E21" s="366"/>
      <c r="F21" s="81" t="s">
        <v>4</v>
      </c>
      <c r="G21" s="49" t="s">
        <v>4</v>
      </c>
      <c r="H21" s="84" t="s">
        <v>4</v>
      </c>
    </row>
    <row r="22" spans="1:8" x14ac:dyDescent="0.25">
      <c r="A22" s="95" t="s">
        <v>4</v>
      </c>
      <c r="B22" s="81" t="s">
        <v>1343</v>
      </c>
      <c r="C22" s="81" t="s">
        <v>113</v>
      </c>
      <c r="D22" s="366" t="s">
        <v>114</v>
      </c>
      <c r="E22" s="366"/>
      <c r="F22" s="81" t="s">
        <v>4</v>
      </c>
      <c r="G22" s="49" t="s">
        <v>4</v>
      </c>
      <c r="H22" s="84" t="s">
        <v>4</v>
      </c>
    </row>
    <row r="23" spans="1:8" x14ac:dyDescent="0.25">
      <c r="A23" s="95" t="s">
        <v>4</v>
      </c>
      <c r="B23" s="81" t="s">
        <v>1343</v>
      </c>
      <c r="C23" s="81" t="s">
        <v>115</v>
      </c>
      <c r="D23" s="366" t="s">
        <v>116</v>
      </c>
      <c r="E23" s="366"/>
      <c r="F23" s="81" t="s">
        <v>4</v>
      </c>
      <c r="G23" s="49" t="s">
        <v>4</v>
      </c>
      <c r="H23" s="84" t="s">
        <v>4</v>
      </c>
    </row>
    <row r="24" spans="1:8" x14ac:dyDescent="0.25">
      <c r="A24" s="95" t="s">
        <v>4</v>
      </c>
      <c r="B24" s="81" t="s">
        <v>1343</v>
      </c>
      <c r="C24" s="81" t="s">
        <v>117</v>
      </c>
      <c r="D24" s="366" t="s">
        <v>118</v>
      </c>
      <c r="E24" s="366"/>
      <c r="F24" s="81" t="s">
        <v>4</v>
      </c>
      <c r="G24" s="49" t="s">
        <v>4</v>
      </c>
      <c r="H24" s="84" t="s">
        <v>4</v>
      </c>
    </row>
    <row r="25" spans="1:8" x14ac:dyDescent="0.25">
      <c r="A25" s="95" t="s">
        <v>4</v>
      </c>
      <c r="B25" s="81" t="s">
        <v>1343</v>
      </c>
      <c r="C25" s="81" t="s">
        <v>119</v>
      </c>
      <c r="D25" s="366" t="s">
        <v>120</v>
      </c>
      <c r="E25" s="366"/>
      <c r="F25" s="81" t="s">
        <v>4</v>
      </c>
      <c r="G25" s="49" t="s">
        <v>4</v>
      </c>
      <c r="H25" s="84" t="s">
        <v>4</v>
      </c>
    </row>
    <row r="26" spans="1:8" x14ac:dyDescent="0.25">
      <c r="A26" s="95" t="s">
        <v>4</v>
      </c>
      <c r="B26" s="81" t="s">
        <v>1343</v>
      </c>
      <c r="C26" s="81" t="s">
        <v>121</v>
      </c>
      <c r="D26" s="366" t="s">
        <v>122</v>
      </c>
      <c r="E26" s="366"/>
      <c r="F26" s="81" t="s">
        <v>4</v>
      </c>
      <c r="G26" s="49" t="s">
        <v>4</v>
      </c>
      <c r="H26" s="84" t="s">
        <v>4</v>
      </c>
    </row>
    <row r="27" spans="1:8" x14ac:dyDescent="0.25">
      <c r="A27" s="95" t="s">
        <v>4</v>
      </c>
      <c r="B27" s="81" t="s">
        <v>1343</v>
      </c>
      <c r="C27" s="81" t="s">
        <v>123</v>
      </c>
      <c r="D27" s="366" t="s">
        <v>124</v>
      </c>
      <c r="E27" s="366"/>
      <c r="F27" s="81" t="s">
        <v>4</v>
      </c>
      <c r="G27" s="49" t="s">
        <v>4</v>
      </c>
      <c r="H27" s="84" t="s">
        <v>4</v>
      </c>
    </row>
    <row r="28" spans="1:8" x14ac:dyDescent="0.25">
      <c r="A28" s="95" t="s">
        <v>4</v>
      </c>
      <c r="B28" s="81" t="s">
        <v>1343</v>
      </c>
      <c r="C28" s="81" t="s">
        <v>125</v>
      </c>
      <c r="D28" s="366" t="s">
        <v>126</v>
      </c>
      <c r="E28" s="366"/>
      <c r="F28" s="81" t="s">
        <v>4</v>
      </c>
      <c r="G28" s="49" t="s">
        <v>4</v>
      </c>
      <c r="H28" s="84" t="s">
        <v>4</v>
      </c>
    </row>
    <row r="29" spans="1:8" x14ac:dyDescent="0.25">
      <c r="A29" s="95" t="s">
        <v>4</v>
      </c>
      <c r="B29" s="81" t="s">
        <v>1343</v>
      </c>
      <c r="C29" s="81" t="s">
        <v>127</v>
      </c>
      <c r="D29" s="366" t="s">
        <v>128</v>
      </c>
      <c r="E29" s="366"/>
      <c r="F29" s="81" t="s">
        <v>4</v>
      </c>
      <c r="G29" s="49" t="s">
        <v>4</v>
      </c>
      <c r="H29" s="84" t="s">
        <v>4</v>
      </c>
    </row>
    <row r="30" spans="1:8" x14ac:dyDescent="0.25">
      <c r="A30" s="95" t="s">
        <v>4</v>
      </c>
      <c r="B30" s="81" t="s">
        <v>1343</v>
      </c>
      <c r="C30" s="81" t="s">
        <v>129</v>
      </c>
      <c r="D30" s="366" t="s">
        <v>130</v>
      </c>
      <c r="E30" s="366"/>
      <c r="F30" s="81" t="s">
        <v>4</v>
      </c>
      <c r="G30" s="49" t="s">
        <v>4</v>
      </c>
      <c r="H30" s="84" t="s">
        <v>4</v>
      </c>
    </row>
    <row r="31" spans="1:8" x14ac:dyDescent="0.25">
      <c r="A31" s="95" t="s">
        <v>4</v>
      </c>
      <c r="B31" s="81" t="s">
        <v>1343</v>
      </c>
      <c r="C31" s="81" t="s">
        <v>131</v>
      </c>
      <c r="D31" s="366" t="s">
        <v>132</v>
      </c>
      <c r="E31" s="366"/>
      <c r="F31" s="81" t="s">
        <v>4</v>
      </c>
      <c r="G31" s="49" t="s">
        <v>4</v>
      </c>
      <c r="H31" s="84" t="s">
        <v>4</v>
      </c>
    </row>
    <row r="32" spans="1:8" x14ac:dyDescent="0.25">
      <c r="A32" s="95" t="s">
        <v>4</v>
      </c>
      <c r="B32" s="81" t="s">
        <v>1343</v>
      </c>
      <c r="C32" s="81" t="s">
        <v>133</v>
      </c>
      <c r="D32" s="366" t="s">
        <v>134</v>
      </c>
      <c r="E32" s="366"/>
      <c r="F32" s="81" t="s">
        <v>4</v>
      </c>
      <c r="G32" s="49" t="s">
        <v>4</v>
      </c>
      <c r="H32" s="84" t="s">
        <v>4</v>
      </c>
    </row>
    <row r="33" spans="1:8" x14ac:dyDescent="0.25">
      <c r="A33" s="95" t="s">
        <v>4</v>
      </c>
      <c r="B33" s="81" t="s">
        <v>1343</v>
      </c>
      <c r="C33" s="81" t="s">
        <v>135</v>
      </c>
      <c r="D33" s="366" t="s">
        <v>136</v>
      </c>
      <c r="E33" s="366"/>
      <c r="F33" s="81" t="s">
        <v>4</v>
      </c>
      <c r="G33" s="49" t="s">
        <v>4</v>
      </c>
      <c r="H33" s="84" t="s">
        <v>4</v>
      </c>
    </row>
    <row r="34" spans="1:8" x14ac:dyDescent="0.25">
      <c r="A34" s="95" t="s">
        <v>4</v>
      </c>
      <c r="B34" s="81" t="s">
        <v>1343</v>
      </c>
      <c r="C34" s="81" t="s">
        <v>137</v>
      </c>
      <c r="D34" s="366" t="s">
        <v>138</v>
      </c>
      <c r="E34" s="366"/>
      <c r="F34" s="81" t="s">
        <v>4</v>
      </c>
      <c r="G34" s="49" t="s">
        <v>4</v>
      </c>
      <c r="H34" s="84" t="s">
        <v>4</v>
      </c>
    </row>
    <row r="35" spans="1:8" x14ac:dyDescent="0.25">
      <c r="A35" s="95" t="s">
        <v>4</v>
      </c>
      <c r="B35" s="81" t="s">
        <v>1343</v>
      </c>
      <c r="C35" s="81" t="s">
        <v>139</v>
      </c>
      <c r="D35" s="366" t="s">
        <v>140</v>
      </c>
      <c r="E35" s="366"/>
      <c r="F35" s="81" t="s">
        <v>4</v>
      </c>
      <c r="G35" s="49" t="s">
        <v>4</v>
      </c>
      <c r="H35" s="84" t="s">
        <v>4</v>
      </c>
    </row>
    <row r="36" spans="1:8" x14ac:dyDescent="0.25">
      <c r="A36" s="95" t="s">
        <v>4</v>
      </c>
      <c r="B36" s="81" t="s">
        <v>1343</v>
      </c>
      <c r="C36" s="81" t="s">
        <v>141</v>
      </c>
      <c r="D36" s="366" t="s">
        <v>142</v>
      </c>
      <c r="E36" s="366"/>
      <c r="F36" s="81" t="s">
        <v>4</v>
      </c>
      <c r="G36" s="49" t="s">
        <v>4</v>
      </c>
      <c r="H36" s="84" t="s">
        <v>4</v>
      </c>
    </row>
    <row r="37" spans="1:8" x14ac:dyDescent="0.25">
      <c r="A37" s="95" t="s">
        <v>4</v>
      </c>
      <c r="B37" s="81" t="s">
        <v>1343</v>
      </c>
      <c r="C37" s="81" t="s">
        <v>143</v>
      </c>
      <c r="D37" s="366" t="s">
        <v>144</v>
      </c>
      <c r="E37" s="366"/>
      <c r="F37" s="81" t="s">
        <v>4</v>
      </c>
      <c r="G37" s="49" t="s">
        <v>4</v>
      </c>
      <c r="H37" s="84" t="s">
        <v>4</v>
      </c>
    </row>
    <row r="38" spans="1:8" x14ac:dyDescent="0.25">
      <c r="A38" s="95" t="s">
        <v>4</v>
      </c>
      <c r="B38" s="81" t="s">
        <v>1343</v>
      </c>
      <c r="C38" s="81" t="s">
        <v>145</v>
      </c>
      <c r="D38" s="366" t="s">
        <v>146</v>
      </c>
      <c r="E38" s="366"/>
      <c r="F38" s="81" t="s">
        <v>4</v>
      </c>
      <c r="G38" s="49" t="s">
        <v>4</v>
      </c>
      <c r="H38" s="84" t="s">
        <v>4</v>
      </c>
    </row>
    <row r="39" spans="1:8" x14ac:dyDescent="0.25">
      <c r="A39" s="95" t="s">
        <v>4</v>
      </c>
      <c r="B39" s="81" t="s">
        <v>1343</v>
      </c>
      <c r="C39" s="81" t="s">
        <v>147</v>
      </c>
      <c r="D39" s="366" t="s">
        <v>148</v>
      </c>
      <c r="E39" s="366"/>
      <c r="F39" s="81" t="s">
        <v>4</v>
      </c>
      <c r="G39" s="49" t="s">
        <v>4</v>
      </c>
      <c r="H39" s="84" t="s">
        <v>4</v>
      </c>
    </row>
    <row r="40" spans="1:8" x14ac:dyDescent="0.25">
      <c r="A40" s="95" t="s">
        <v>4</v>
      </c>
      <c r="B40" s="81" t="s">
        <v>1343</v>
      </c>
      <c r="C40" s="81" t="s">
        <v>149</v>
      </c>
      <c r="D40" s="366" t="s">
        <v>150</v>
      </c>
      <c r="E40" s="366"/>
      <c r="F40" s="81" t="s">
        <v>4</v>
      </c>
      <c r="G40" s="49" t="s">
        <v>4</v>
      </c>
      <c r="H40" s="84" t="s">
        <v>4</v>
      </c>
    </row>
    <row r="41" spans="1:8" x14ac:dyDescent="0.25">
      <c r="A41" s="95" t="s">
        <v>4</v>
      </c>
      <c r="B41" s="81" t="s">
        <v>1343</v>
      </c>
      <c r="C41" s="81" t="s">
        <v>151</v>
      </c>
      <c r="D41" s="366" t="s">
        <v>152</v>
      </c>
      <c r="E41" s="366"/>
      <c r="F41" s="81" t="s">
        <v>4</v>
      </c>
      <c r="G41" s="49" t="s">
        <v>4</v>
      </c>
      <c r="H41" s="84" t="s">
        <v>4</v>
      </c>
    </row>
    <row r="42" spans="1:8" x14ac:dyDescent="0.25">
      <c r="A42" s="95" t="s">
        <v>4</v>
      </c>
      <c r="B42" s="81" t="s">
        <v>1343</v>
      </c>
      <c r="C42" s="81" t="s">
        <v>153</v>
      </c>
      <c r="D42" s="366" t="s">
        <v>154</v>
      </c>
      <c r="E42" s="366"/>
      <c r="F42" s="81" t="s">
        <v>4</v>
      </c>
      <c r="G42" s="49" t="s">
        <v>4</v>
      </c>
      <c r="H42" s="84" t="s">
        <v>4</v>
      </c>
    </row>
    <row r="43" spans="1:8" x14ac:dyDescent="0.25">
      <c r="A43" s="95" t="s">
        <v>4</v>
      </c>
      <c r="B43" s="81" t="s">
        <v>1343</v>
      </c>
      <c r="C43" s="81" t="s">
        <v>155</v>
      </c>
      <c r="D43" s="366" t="s">
        <v>156</v>
      </c>
      <c r="E43" s="366"/>
      <c r="F43" s="81" t="s">
        <v>4</v>
      </c>
      <c r="G43" s="49" t="s">
        <v>4</v>
      </c>
      <c r="H43" s="84" t="s">
        <v>4</v>
      </c>
    </row>
    <row r="44" spans="1:8" x14ac:dyDescent="0.25">
      <c r="A44" s="95" t="s">
        <v>4</v>
      </c>
      <c r="B44" s="81" t="s">
        <v>1343</v>
      </c>
      <c r="C44" s="81" t="s">
        <v>157</v>
      </c>
      <c r="D44" s="366" t="s">
        <v>158</v>
      </c>
      <c r="E44" s="366"/>
      <c r="F44" s="81" t="s">
        <v>4</v>
      </c>
      <c r="G44" s="49" t="s">
        <v>4</v>
      </c>
      <c r="H44" s="84" t="s">
        <v>4</v>
      </c>
    </row>
    <row r="45" spans="1:8" x14ac:dyDescent="0.25">
      <c r="A45" s="95" t="s">
        <v>4</v>
      </c>
      <c r="B45" s="81" t="s">
        <v>1343</v>
      </c>
      <c r="C45" s="81" t="s">
        <v>159</v>
      </c>
      <c r="D45" s="366" t="s">
        <v>160</v>
      </c>
      <c r="E45" s="366"/>
      <c r="F45" s="81" t="s">
        <v>4</v>
      </c>
      <c r="G45" s="49" t="s">
        <v>4</v>
      </c>
      <c r="H45" s="84" t="s">
        <v>4</v>
      </c>
    </row>
    <row r="46" spans="1:8" x14ac:dyDescent="0.25">
      <c r="A46" s="95" t="s">
        <v>4</v>
      </c>
      <c r="B46" s="81" t="s">
        <v>1343</v>
      </c>
      <c r="C46" s="81" t="s">
        <v>161</v>
      </c>
      <c r="D46" s="366" t="s">
        <v>162</v>
      </c>
      <c r="E46" s="366"/>
      <c r="F46" s="81" t="s">
        <v>4</v>
      </c>
      <c r="G46" s="49" t="s">
        <v>4</v>
      </c>
      <c r="H46" s="84" t="s">
        <v>4</v>
      </c>
    </row>
    <row r="47" spans="1:8" x14ac:dyDescent="0.25">
      <c r="A47" s="95" t="s">
        <v>4</v>
      </c>
      <c r="B47" s="81" t="s">
        <v>1343</v>
      </c>
      <c r="C47" s="81" t="s">
        <v>163</v>
      </c>
      <c r="D47" s="366" t="s">
        <v>164</v>
      </c>
      <c r="E47" s="366"/>
      <c r="F47" s="81" t="s">
        <v>4</v>
      </c>
      <c r="G47" s="49" t="s">
        <v>4</v>
      </c>
      <c r="H47" s="84" t="s">
        <v>4</v>
      </c>
    </row>
    <row r="48" spans="1:8" x14ac:dyDescent="0.25">
      <c r="A48" s="95" t="s">
        <v>4</v>
      </c>
      <c r="B48" s="81" t="s">
        <v>1343</v>
      </c>
      <c r="C48" s="81" t="s">
        <v>165</v>
      </c>
      <c r="D48" s="366" t="s">
        <v>166</v>
      </c>
      <c r="E48" s="366"/>
      <c r="F48" s="81" t="s">
        <v>4</v>
      </c>
      <c r="G48" s="49" t="s">
        <v>4</v>
      </c>
      <c r="H48" s="84" t="s">
        <v>4</v>
      </c>
    </row>
    <row r="49" spans="1:8" x14ac:dyDescent="0.25">
      <c r="A49" s="95" t="s">
        <v>4</v>
      </c>
      <c r="B49" s="81" t="s">
        <v>1343</v>
      </c>
      <c r="C49" s="81" t="s">
        <v>167</v>
      </c>
      <c r="D49" s="366" t="s">
        <v>168</v>
      </c>
      <c r="E49" s="366"/>
      <c r="F49" s="81" t="s">
        <v>4</v>
      </c>
      <c r="G49" s="49" t="s">
        <v>4</v>
      </c>
      <c r="H49" s="84" t="s">
        <v>4</v>
      </c>
    </row>
    <row r="50" spans="1:8" x14ac:dyDescent="0.25">
      <c r="A50" s="95" t="s">
        <v>4</v>
      </c>
      <c r="B50" s="81" t="s">
        <v>1343</v>
      </c>
      <c r="C50" s="81" t="s">
        <v>169</v>
      </c>
      <c r="D50" s="366" t="s">
        <v>170</v>
      </c>
      <c r="E50" s="366"/>
      <c r="F50" s="81" t="s">
        <v>4</v>
      </c>
      <c r="G50" s="49" t="s">
        <v>4</v>
      </c>
      <c r="H50" s="84" t="s">
        <v>4</v>
      </c>
    </row>
    <row r="51" spans="1:8" x14ac:dyDescent="0.25">
      <c r="A51" s="95" t="s">
        <v>4</v>
      </c>
      <c r="B51" s="81" t="s">
        <v>1343</v>
      </c>
      <c r="C51" s="81" t="s">
        <v>171</v>
      </c>
      <c r="D51" s="366" t="s">
        <v>172</v>
      </c>
      <c r="E51" s="366"/>
      <c r="F51" s="81" t="s">
        <v>4</v>
      </c>
      <c r="G51" s="49" t="s">
        <v>4</v>
      </c>
      <c r="H51" s="84" t="s">
        <v>4</v>
      </c>
    </row>
    <row r="52" spans="1:8" x14ac:dyDescent="0.25">
      <c r="A52" s="95" t="s">
        <v>4</v>
      </c>
      <c r="B52" s="81" t="s">
        <v>1343</v>
      </c>
      <c r="C52" s="81" t="s">
        <v>173</v>
      </c>
      <c r="D52" s="366" t="s">
        <v>174</v>
      </c>
      <c r="E52" s="366"/>
      <c r="F52" s="81" t="s">
        <v>4</v>
      </c>
      <c r="G52" s="49" t="s">
        <v>4</v>
      </c>
      <c r="H52" s="84" t="s">
        <v>4</v>
      </c>
    </row>
    <row r="53" spans="1:8" x14ac:dyDescent="0.25">
      <c r="A53" s="95" t="s">
        <v>4</v>
      </c>
      <c r="B53" s="81" t="s">
        <v>1343</v>
      </c>
      <c r="C53" s="81" t="s">
        <v>175</v>
      </c>
      <c r="D53" s="366" t="s">
        <v>176</v>
      </c>
      <c r="E53" s="366"/>
      <c r="F53" s="81" t="s">
        <v>4</v>
      </c>
      <c r="G53" s="49" t="s">
        <v>4</v>
      </c>
      <c r="H53" s="84" t="s">
        <v>4</v>
      </c>
    </row>
    <row r="54" spans="1:8" x14ac:dyDescent="0.25">
      <c r="A54" s="95" t="s">
        <v>4</v>
      </c>
      <c r="B54" s="81" t="s">
        <v>1343</v>
      </c>
      <c r="C54" s="81" t="s">
        <v>177</v>
      </c>
      <c r="D54" s="366" t="s">
        <v>178</v>
      </c>
      <c r="E54" s="366"/>
      <c r="F54" s="81" t="s">
        <v>4</v>
      </c>
      <c r="G54" s="49" t="s">
        <v>4</v>
      </c>
      <c r="H54" s="84" t="s">
        <v>4</v>
      </c>
    </row>
    <row r="55" spans="1:8" x14ac:dyDescent="0.25">
      <c r="A55" s="95" t="s">
        <v>4</v>
      </c>
      <c r="B55" s="81" t="s">
        <v>1343</v>
      </c>
      <c r="C55" s="81" t="s">
        <v>179</v>
      </c>
      <c r="D55" s="366" t="s">
        <v>180</v>
      </c>
      <c r="E55" s="366"/>
      <c r="F55" s="81" t="s">
        <v>4</v>
      </c>
      <c r="G55" s="49" t="s">
        <v>4</v>
      </c>
      <c r="H55" s="84" t="s">
        <v>4</v>
      </c>
    </row>
    <row r="56" spans="1:8" x14ac:dyDescent="0.25">
      <c r="A56" s="95" t="s">
        <v>4</v>
      </c>
      <c r="B56" s="81" t="s">
        <v>1343</v>
      </c>
      <c r="C56" s="81" t="s">
        <v>181</v>
      </c>
      <c r="D56" s="366" t="s">
        <v>59</v>
      </c>
      <c r="E56" s="366"/>
      <c r="F56" s="81" t="s">
        <v>4</v>
      </c>
      <c r="G56" s="49" t="s">
        <v>4</v>
      </c>
      <c r="H56" s="84" t="s">
        <v>4</v>
      </c>
    </row>
    <row r="57" spans="1:8" x14ac:dyDescent="0.25">
      <c r="A57" s="95" t="s">
        <v>4</v>
      </c>
      <c r="B57" s="81" t="s">
        <v>1343</v>
      </c>
      <c r="C57" s="81" t="s">
        <v>182</v>
      </c>
      <c r="D57" s="366" t="s">
        <v>70</v>
      </c>
      <c r="E57" s="366"/>
      <c r="F57" s="81" t="s">
        <v>4</v>
      </c>
      <c r="G57" s="49" t="s">
        <v>4</v>
      </c>
      <c r="H57" s="84" t="s">
        <v>4</v>
      </c>
    </row>
    <row r="58" spans="1:8" x14ac:dyDescent="0.25">
      <c r="A58" s="95" t="s">
        <v>4</v>
      </c>
      <c r="B58" s="81" t="s">
        <v>1343</v>
      </c>
      <c r="C58" s="81" t="s">
        <v>183</v>
      </c>
      <c r="D58" s="366" t="s">
        <v>26</v>
      </c>
      <c r="E58" s="366"/>
      <c r="F58" s="81" t="s">
        <v>4</v>
      </c>
      <c r="G58" s="49" t="s">
        <v>4</v>
      </c>
      <c r="H58" s="84" t="s">
        <v>4</v>
      </c>
    </row>
    <row r="59" spans="1:8" x14ac:dyDescent="0.25">
      <c r="A59" s="95" t="s">
        <v>4</v>
      </c>
      <c r="B59" s="81" t="s">
        <v>1343</v>
      </c>
      <c r="C59" s="81" t="s">
        <v>184</v>
      </c>
      <c r="D59" s="366" t="s">
        <v>72</v>
      </c>
      <c r="E59" s="366"/>
      <c r="F59" s="81" t="s">
        <v>4</v>
      </c>
      <c r="G59" s="49" t="s">
        <v>4</v>
      </c>
      <c r="H59" s="84" t="s">
        <v>4</v>
      </c>
    </row>
    <row r="60" spans="1:8" x14ac:dyDescent="0.25">
      <c r="A60" s="95" t="s">
        <v>4</v>
      </c>
      <c r="B60" s="81" t="s">
        <v>1343</v>
      </c>
      <c r="C60" s="81" t="s">
        <v>185</v>
      </c>
      <c r="D60" s="366" t="s">
        <v>33</v>
      </c>
      <c r="E60" s="366"/>
      <c r="F60" s="81" t="s">
        <v>4</v>
      </c>
      <c r="G60" s="49" t="s">
        <v>4</v>
      </c>
      <c r="H60" s="84" t="s">
        <v>4</v>
      </c>
    </row>
    <row r="61" spans="1:8" x14ac:dyDescent="0.25">
      <c r="A61" s="1" t="s">
        <v>219</v>
      </c>
      <c r="B61" s="2" t="s">
        <v>89</v>
      </c>
      <c r="C61" s="2" t="s">
        <v>220</v>
      </c>
      <c r="D61" s="280" t="s">
        <v>221</v>
      </c>
      <c r="E61" s="280"/>
      <c r="F61" s="2" t="s">
        <v>222</v>
      </c>
      <c r="G61" s="37">
        <v>30.577999999999999</v>
      </c>
      <c r="H61" s="38">
        <v>0</v>
      </c>
    </row>
    <row r="62" spans="1:8" x14ac:dyDescent="0.25">
      <c r="A62" s="85"/>
      <c r="D62" s="96" t="s">
        <v>1344</v>
      </c>
      <c r="E62" s="388" t="s">
        <v>1345</v>
      </c>
      <c r="F62" s="388"/>
      <c r="G62" s="97">
        <v>0.35699999999999998</v>
      </c>
      <c r="H62" s="98"/>
    </row>
    <row r="63" spans="1:8" x14ac:dyDescent="0.25">
      <c r="A63" s="1" t="s">
        <v>4</v>
      </c>
      <c r="B63" s="2" t="s">
        <v>4</v>
      </c>
      <c r="C63" s="2" t="s">
        <v>4</v>
      </c>
      <c r="D63" s="96" t="s">
        <v>1346</v>
      </c>
      <c r="E63" s="388" t="s">
        <v>1347</v>
      </c>
      <c r="F63" s="388"/>
      <c r="G63" s="97">
        <v>2.16</v>
      </c>
      <c r="H63" s="79" t="s">
        <v>4</v>
      </c>
    </row>
    <row r="64" spans="1:8" x14ac:dyDescent="0.25">
      <c r="A64" s="1" t="s">
        <v>4</v>
      </c>
      <c r="B64" s="2" t="s">
        <v>4</v>
      </c>
      <c r="C64" s="2" t="s">
        <v>4</v>
      </c>
      <c r="D64" s="96" t="s">
        <v>1348</v>
      </c>
      <c r="E64" s="388" t="s">
        <v>4</v>
      </c>
      <c r="F64" s="388"/>
      <c r="G64" s="97">
        <v>6.0750000000000002</v>
      </c>
      <c r="H64" s="79" t="s">
        <v>4</v>
      </c>
    </row>
    <row r="65" spans="1:8" x14ac:dyDescent="0.25">
      <c r="A65" s="1" t="s">
        <v>4</v>
      </c>
      <c r="B65" s="2" t="s">
        <v>4</v>
      </c>
      <c r="C65" s="2" t="s">
        <v>4</v>
      </c>
      <c r="D65" s="96" t="s">
        <v>1349</v>
      </c>
      <c r="E65" s="388" t="s">
        <v>1350</v>
      </c>
      <c r="F65" s="388"/>
      <c r="G65" s="97">
        <v>21.986000000000001</v>
      </c>
      <c r="H65" s="79" t="s">
        <v>4</v>
      </c>
    </row>
    <row r="66" spans="1:8" x14ac:dyDescent="0.25">
      <c r="A66" s="1" t="s">
        <v>227</v>
      </c>
      <c r="B66" s="2" t="s">
        <v>89</v>
      </c>
      <c r="C66" s="2" t="s">
        <v>228</v>
      </c>
      <c r="D66" s="280" t="s">
        <v>229</v>
      </c>
      <c r="E66" s="280"/>
      <c r="F66" s="2" t="s">
        <v>222</v>
      </c>
      <c r="G66" s="37">
        <v>13.433999999999999</v>
      </c>
      <c r="H66" s="38">
        <v>0</v>
      </c>
    </row>
    <row r="67" spans="1:8" x14ac:dyDescent="0.25">
      <c r="A67" s="85"/>
      <c r="D67" s="96" t="s">
        <v>1351</v>
      </c>
      <c r="E67" s="388" t="s">
        <v>4</v>
      </c>
      <c r="F67" s="388"/>
      <c r="G67" s="97">
        <v>0.9</v>
      </c>
      <c r="H67" s="98"/>
    </row>
    <row r="68" spans="1:8" x14ac:dyDescent="0.25">
      <c r="A68" s="1" t="s">
        <v>4</v>
      </c>
      <c r="B68" s="2" t="s">
        <v>4</v>
      </c>
      <c r="C68" s="2" t="s">
        <v>4</v>
      </c>
      <c r="D68" s="96" t="s">
        <v>1352</v>
      </c>
      <c r="E68" s="388" t="s">
        <v>1353</v>
      </c>
      <c r="F68" s="388"/>
      <c r="G68" s="97">
        <v>2.8439999999999999</v>
      </c>
      <c r="H68" s="79" t="s">
        <v>4</v>
      </c>
    </row>
    <row r="69" spans="1:8" x14ac:dyDescent="0.25">
      <c r="A69" s="1" t="s">
        <v>4</v>
      </c>
      <c r="B69" s="2" t="s">
        <v>4</v>
      </c>
      <c r="C69" s="2" t="s">
        <v>4</v>
      </c>
      <c r="D69" s="96" t="s">
        <v>1354</v>
      </c>
      <c r="E69" s="388" t="s">
        <v>1355</v>
      </c>
      <c r="F69" s="388"/>
      <c r="G69" s="97">
        <v>9.69</v>
      </c>
      <c r="H69" s="79" t="s">
        <v>4</v>
      </c>
    </row>
    <row r="70" spans="1:8" x14ac:dyDescent="0.25">
      <c r="A70" s="1" t="s">
        <v>230</v>
      </c>
      <c r="B70" s="2" t="s">
        <v>89</v>
      </c>
      <c r="C70" s="2" t="s">
        <v>231</v>
      </c>
      <c r="D70" s="280" t="s">
        <v>232</v>
      </c>
      <c r="E70" s="280"/>
      <c r="F70" s="2" t="s">
        <v>222</v>
      </c>
      <c r="G70" s="37">
        <v>6.7169999999999996</v>
      </c>
      <c r="H70" s="38">
        <v>0</v>
      </c>
    </row>
    <row r="71" spans="1:8" x14ac:dyDescent="0.25">
      <c r="A71" s="85"/>
      <c r="D71" s="96" t="s">
        <v>1356</v>
      </c>
      <c r="E71" s="388" t="s">
        <v>4</v>
      </c>
      <c r="F71" s="388"/>
      <c r="G71" s="97">
        <v>6.7169999999999996</v>
      </c>
      <c r="H71" s="98"/>
    </row>
    <row r="72" spans="1:8" x14ac:dyDescent="0.25">
      <c r="A72" s="1" t="s">
        <v>233</v>
      </c>
      <c r="B72" s="2" t="s">
        <v>89</v>
      </c>
      <c r="C72" s="2" t="s">
        <v>234</v>
      </c>
      <c r="D72" s="280" t="s">
        <v>235</v>
      </c>
      <c r="E72" s="280"/>
      <c r="F72" s="2" t="s">
        <v>222</v>
      </c>
      <c r="G72" s="37">
        <v>43.254899999999999</v>
      </c>
      <c r="H72" s="38">
        <v>0</v>
      </c>
    </row>
    <row r="73" spans="1:8" x14ac:dyDescent="0.25">
      <c r="A73" s="85"/>
      <c r="D73" s="96" t="s">
        <v>1357</v>
      </c>
      <c r="E73" s="388" t="s">
        <v>1358</v>
      </c>
      <c r="F73" s="388"/>
      <c r="G73" s="97">
        <v>1.716</v>
      </c>
      <c r="H73" s="98"/>
    </row>
    <row r="74" spans="1:8" x14ac:dyDescent="0.25">
      <c r="A74" s="1" t="s">
        <v>4</v>
      </c>
      <c r="B74" s="2" t="s">
        <v>4</v>
      </c>
      <c r="C74" s="2" t="s">
        <v>4</v>
      </c>
      <c r="D74" s="96" t="s">
        <v>1359</v>
      </c>
      <c r="E74" s="388" t="s">
        <v>4</v>
      </c>
      <c r="F74" s="388"/>
      <c r="G74" s="97">
        <v>10.154400000000001</v>
      </c>
      <c r="H74" s="79" t="s">
        <v>4</v>
      </c>
    </row>
    <row r="75" spans="1:8" x14ac:dyDescent="0.25">
      <c r="A75" s="1" t="s">
        <v>4</v>
      </c>
      <c r="B75" s="2" t="s">
        <v>4</v>
      </c>
      <c r="C75" s="2" t="s">
        <v>4</v>
      </c>
      <c r="D75" s="96" t="s">
        <v>1360</v>
      </c>
      <c r="E75" s="388" t="s">
        <v>1361</v>
      </c>
      <c r="F75" s="388"/>
      <c r="G75" s="97">
        <v>31.384499999999999</v>
      </c>
      <c r="H75" s="79" t="s">
        <v>4</v>
      </c>
    </row>
    <row r="76" spans="1:8" x14ac:dyDescent="0.25">
      <c r="A76" s="1" t="s">
        <v>237</v>
      </c>
      <c r="B76" s="2" t="s">
        <v>89</v>
      </c>
      <c r="C76" s="2" t="s">
        <v>238</v>
      </c>
      <c r="D76" s="280" t="s">
        <v>239</v>
      </c>
      <c r="E76" s="280"/>
      <c r="F76" s="2" t="s">
        <v>222</v>
      </c>
      <c r="G76" s="37">
        <v>21.62745</v>
      </c>
      <c r="H76" s="38">
        <v>0</v>
      </c>
    </row>
    <row r="77" spans="1:8" x14ac:dyDescent="0.25">
      <c r="A77" s="85"/>
      <c r="D77" s="96" t="s">
        <v>1362</v>
      </c>
      <c r="E77" s="388" t="s">
        <v>4</v>
      </c>
      <c r="F77" s="388"/>
      <c r="G77" s="97">
        <v>21.62745</v>
      </c>
      <c r="H77" s="98"/>
    </row>
    <row r="78" spans="1:8" x14ac:dyDescent="0.25">
      <c r="A78" s="1" t="s">
        <v>240</v>
      </c>
      <c r="B78" s="2" t="s">
        <v>89</v>
      </c>
      <c r="C78" s="2" t="s">
        <v>241</v>
      </c>
      <c r="D78" s="280" t="s">
        <v>242</v>
      </c>
      <c r="E78" s="280"/>
      <c r="F78" s="2" t="s">
        <v>222</v>
      </c>
      <c r="G78" s="37">
        <v>4.2529300000000001</v>
      </c>
      <c r="H78" s="38">
        <v>0</v>
      </c>
    </row>
    <row r="79" spans="1:8" x14ac:dyDescent="0.25">
      <c r="A79" s="85"/>
      <c r="D79" s="96" t="s">
        <v>1363</v>
      </c>
      <c r="E79" s="388" t="s">
        <v>1364</v>
      </c>
      <c r="F79" s="388"/>
      <c r="G79" s="97">
        <v>4.2529300000000001</v>
      </c>
      <c r="H79" s="98"/>
    </row>
    <row r="80" spans="1:8" x14ac:dyDescent="0.25">
      <c r="A80" s="1" t="s">
        <v>243</v>
      </c>
      <c r="B80" s="2" t="s">
        <v>89</v>
      </c>
      <c r="C80" s="2" t="s">
        <v>244</v>
      </c>
      <c r="D80" s="280" t="s">
        <v>245</v>
      </c>
      <c r="E80" s="280"/>
      <c r="F80" s="2" t="s">
        <v>222</v>
      </c>
      <c r="G80" s="37">
        <v>2.1264699999999999</v>
      </c>
      <c r="H80" s="38">
        <v>0</v>
      </c>
    </row>
    <row r="81" spans="1:8" x14ac:dyDescent="0.25">
      <c r="A81" s="85"/>
      <c r="D81" s="96" t="s">
        <v>1365</v>
      </c>
      <c r="E81" s="388" t="s">
        <v>1364</v>
      </c>
      <c r="F81" s="388"/>
      <c r="G81" s="97">
        <v>2.1264699999999999</v>
      </c>
      <c r="H81" s="98"/>
    </row>
    <row r="82" spans="1:8" x14ac:dyDescent="0.25">
      <c r="A82" s="1" t="s">
        <v>246</v>
      </c>
      <c r="B82" s="2" t="s">
        <v>89</v>
      </c>
      <c r="C82" s="2" t="s">
        <v>247</v>
      </c>
      <c r="D82" s="280" t="s">
        <v>248</v>
      </c>
      <c r="E82" s="280"/>
      <c r="F82" s="2" t="s">
        <v>249</v>
      </c>
      <c r="G82" s="37">
        <v>16.2</v>
      </c>
      <c r="H82" s="38">
        <v>0</v>
      </c>
    </row>
    <row r="83" spans="1:8" x14ac:dyDescent="0.25">
      <c r="A83" s="85"/>
      <c r="D83" s="96" t="s">
        <v>1366</v>
      </c>
      <c r="E83" s="388" t="s">
        <v>1347</v>
      </c>
      <c r="F83" s="388"/>
      <c r="G83" s="97">
        <v>16.2</v>
      </c>
      <c r="H83" s="98"/>
    </row>
    <row r="84" spans="1:8" x14ac:dyDescent="0.25">
      <c r="A84" s="1" t="s">
        <v>251</v>
      </c>
      <c r="B84" s="2" t="s">
        <v>89</v>
      </c>
      <c r="C84" s="2" t="s">
        <v>252</v>
      </c>
      <c r="D84" s="280" t="s">
        <v>253</v>
      </c>
      <c r="E84" s="280"/>
      <c r="F84" s="2" t="s">
        <v>249</v>
      </c>
      <c r="G84" s="37">
        <v>16.2</v>
      </c>
      <c r="H84" s="38">
        <v>0</v>
      </c>
    </row>
    <row r="85" spans="1:8" x14ac:dyDescent="0.25">
      <c r="A85" s="85"/>
      <c r="D85" s="96" t="s">
        <v>1366</v>
      </c>
      <c r="E85" s="388" t="s">
        <v>1347</v>
      </c>
      <c r="F85" s="388"/>
      <c r="G85" s="97">
        <v>16.2</v>
      </c>
      <c r="H85" s="98"/>
    </row>
    <row r="86" spans="1:8" x14ac:dyDescent="0.25">
      <c r="A86" s="1" t="s">
        <v>254</v>
      </c>
      <c r="B86" s="2" t="s">
        <v>89</v>
      </c>
      <c r="C86" s="2" t="s">
        <v>255</v>
      </c>
      <c r="D86" s="280" t="s">
        <v>256</v>
      </c>
      <c r="E86" s="280"/>
      <c r="F86" s="2" t="s">
        <v>222</v>
      </c>
      <c r="G86" s="37">
        <v>34.830930000000002</v>
      </c>
      <c r="H86" s="38">
        <v>0</v>
      </c>
    </row>
    <row r="87" spans="1:8" x14ac:dyDescent="0.25">
      <c r="A87" s="85"/>
      <c r="D87" s="96" t="s">
        <v>1363</v>
      </c>
      <c r="E87" s="388" t="s">
        <v>1364</v>
      </c>
      <c r="F87" s="388"/>
      <c r="G87" s="97">
        <v>4.2529300000000001</v>
      </c>
      <c r="H87" s="98"/>
    </row>
    <row r="88" spans="1:8" x14ac:dyDescent="0.25">
      <c r="A88" s="1" t="s">
        <v>4</v>
      </c>
      <c r="B88" s="2" t="s">
        <v>4</v>
      </c>
      <c r="C88" s="2" t="s">
        <v>4</v>
      </c>
      <c r="D88" s="96" t="s">
        <v>1367</v>
      </c>
      <c r="E88" s="388" t="s">
        <v>1368</v>
      </c>
      <c r="F88" s="388"/>
      <c r="G88" s="97">
        <v>30.577999999999999</v>
      </c>
      <c r="H88" s="79" t="s">
        <v>4</v>
      </c>
    </row>
    <row r="89" spans="1:8" x14ac:dyDescent="0.25">
      <c r="A89" s="1" t="s">
        <v>258</v>
      </c>
      <c r="B89" s="2" t="s">
        <v>89</v>
      </c>
      <c r="C89" s="2" t="s">
        <v>259</v>
      </c>
      <c r="D89" s="280" t="s">
        <v>260</v>
      </c>
      <c r="E89" s="280"/>
      <c r="F89" s="2" t="s">
        <v>222</v>
      </c>
      <c r="G89" s="37">
        <v>8.5920000000000005</v>
      </c>
      <c r="H89" s="38">
        <v>0</v>
      </c>
    </row>
    <row r="90" spans="1:8" x14ac:dyDescent="0.25">
      <c r="A90" s="85"/>
      <c r="D90" s="96" t="s">
        <v>1369</v>
      </c>
      <c r="E90" s="388" t="s">
        <v>4</v>
      </c>
      <c r="F90" s="388"/>
      <c r="G90" s="97">
        <v>8.5920000000000005</v>
      </c>
      <c r="H90" s="98"/>
    </row>
    <row r="91" spans="1:8" x14ac:dyDescent="0.25">
      <c r="A91" s="1" t="s">
        <v>261</v>
      </c>
      <c r="B91" s="2" t="s">
        <v>89</v>
      </c>
      <c r="C91" s="2" t="s">
        <v>262</v>
      </c>
      <c r="D91" s="280" t="s">
        <v>263</v>
      </c>
      <c r="E91" s="280"/>
      <c r="F91" s="2" t="s">
        <v>222</v>
      </c>
      <c r="G91" s="37">
        <v>91.519829999999999</v>
      </c>
      <c r="H91" s="38">
        <v>0</v>
      </c>
    </row>
    <row r="92" spans="1:8" x14ac:dyDescent="0.25">
      <c r="A92" s="85"/>
      <c r="D92" s="96" t="s">
        <v>1370</v>
      </c>
      <c r="E92" s="388" t="s">
        <v>4</v>
      </c>
      <c r="F92" s="388"/>
      <c r="G92" s="97">
        <v>91.519829999999999</v>
      </c>
      <c r="H92" s="98"/>
    </row>
    <row r="93" spans="1:8" x14ac:dyDescent="0.25">
      <c r="A93" s="1" t="s">
        <v>90</v>
      </c>
      <c r="B93" s="2" t="s">
        <v>89</v>
      </c>
      <c r="C93" s="2" t="s">
        <v>264</v>
      </c>
      <c r="D93" s="280" t="s">
        <v>265</v>
      </c>
      <c r="E93" s="280"/>
      <c r="F93" s="2" t="s">
        <v>222</v>
      </c>
      <c r="G93" s="37">
        <v>76.638149999999996</v>
      </c>
      <c r="H93" s="38">
        <v>0</v>
      </c>
    </row>
    <row r="94" spans="1:8" x14ac:dyDescent="0.25">
      <c r="A94" s="85"/>
      <c r="D94" s="96" t="s">
        <v>1371</v>
      </c>
      <c r="E94" s="388" t="s">
        <v>4</v>
      </c>
      <c r="F94" s="388"/>
      <c r="G94" s="97">
        <v>76.638149999999996</v>
      </c>
      <c r="H94" s="98"/>
    </row>
    <row r="95" spans="1:8" x14ac:dyDescent="0.25">
      <c r="A95" s="1" t="s">
        <v>266</v>
      </c>
      <c r="B95" s="2" t="s">
        <v>89</v>
      </c>
      <c r="C95" s="2" t="s">
        <v>267</v>
      </c>
      <c r="D95" s="280" t="s">
        <v>268</v>
      </c>
      <c r="E95" s="280"/>
      <c r="F95" s="2" t="s">
        <v>222</v>
      </c>
      <c r="G95" s="37">
        <v>17.23368</v>
      </c>
      <c r="H95" s="38">
        <v>0</v>
      </c>
    </row>
    <row r="96" spans="1:8" x14ac:dyDescent="0.25">
      <c r="A96" s="85"/>
      <c r="D96" s="96" t="s">
        <v>1372</v>
      </c>
      <c r="E96" s="388" t="s">
        <v>4</v>
      </c>
      <c r="F96" s="388"/>
      <c r="G96" s="97">
        <v>2.5739999999999998</v>
      </c>
      <c r="H96" s="98"/>
    </row>
    <row r="97" spans="1:8" x14ac:dyDescent="0.25">
      <c r="A97" s="1" t="s">
        <v>4</v>
      </c>
      <c r="B97" s="2" t="s">
        <v>4</v>
      </c>
      <c r="C97" s="2" t="s">
        <v>4</v>
      </c>
      <c r="D97" s="96" t="s">
        <v>1373</v>
      </c>
      <c r="E97" s="388" t="s">
        <v>4</v>
      </c>
      <c r="F97" s="388"/>
      <c r="G97" s="97">
        <v>4.0990000000000002</v>
      </c>
      <c r="H97" s="79" t="s">
        <v>4</v>
      </c>
    </row>
    <row r="98" spans="1:8" x14ac:dyDescent="0.25">
      <c r="A98" s="1" t="s">
        <v>4</v>
      </c>
      <c r="B98" s="2" t="s">
        <v>4</v>
      </c>
      <c r="C98" s="2" t="s">
        <v>4</v>
      </c>
      <c r="D98" s="96" t="s">
        <v>1374</v>
      </c>
      <c r="E98" s="388" t="s">
        <v>1364</v>
      </c>
      <c r="F98" s="388"/>
      <c r="G98" s="97">
        <v>2.3946800000000001</v>
      </c>
      <c r="H98" s="79" t="s">
        <v>4</v>
      </c>
    </row>
    <row r="99" spans="1:8" x14ac:dyDescent="0.25">
      <c r="A99" s="1" t="s">
        <v>4</v>
      </c>
      <c r="B99" s="2" t="s">
        <v>4</v>
      </c>
      <c r="C99" s="2" t="s">
        <v>4</v>
      </c>
      <c r="D99" s="96" t="s">
        <v>1375</v>
      </c>
      <c r="E99" s="388" t="s">
        <v>1355</v>
      </c>
      <c r="F99" s="388"/>
      <c r="G99" s="97">
        <v>5.8140000000000001</v>
      </c>
      <c r="H99" s="79" t="s">
        <v>4</v>
      </c>
    </row>
    <row r="100" spans="1:8" x14ac:dyDescent="0.25">
      <c r="A100" s="1" t="s">
        <v>4</v>
      </c>
      <c r="B100" s="2" t="s">
        <v>4</v>
      </c>
      <c r="C100" s="2" t="s">
        <v>4</v>
      </c>
      <c r="D100" s="96" t="s">
        <v>1376</v>
      </c>
      <c r="E100" s="388" t="s">
        <v>1377</v>
      </c>
      <c r="F100" s="388"/>
      <c r="G100" s="97">
        <v>2.3519999999999999</v>
      </c>
      <c r="H100" s="79" t="s">
        <v>4</v>
      </c>
    </row>
    <row r="101" spans="1:8" x14ac:dyDescent="0.25">
      <c r="A101" s="1" t="s">
        <v>93</v>
      </c>
      <c r="B101" s="2" t="s">
        <v>89</v>
      </c>
      <c r="C101" s="2" t="s">
        <v>270</v>
      </c>
      <c r="D101" s="280" t="s">
        <v>271</v>
      </c>
      <c r="E101" s="280"/>
      <c r="F101" s="2" t="s">
        <v>222</v>
      </c>
      <c r="G101" s="37">
        <v>8.0364000000000004</v>
      </c>
      <c r="H101" s="38">
        <v>0</v>
      </c>
    </row>
    <row r="102" spans="1:8" x14ac:dyDescent="0.25">
      <c r="A102" s="85"/>
      <c r="D102" s="96" t="s">
        <v>1378</v>
      </c>
      <c r="E102" s="388" t="s">
        <v>1379</v>
      </c>
      <c r="F102" s="388"/>
      <c r="G102" s="97">
        <v>8.0364000000000004</v>
      </c>
      <c r="H102" s="98"/>
    </row>
    <row r="103" spans="1:8" x14ac:dyDescent="0.25">
      <c r="A103" s="1" t="s">
        <v>95</v>
      </c>
      <c r="B103" s="2" t="s">
        <v>89</v>
      </c>
      <c r="C103" s="2" t="s">
        <v>272</v>
      </c>
      <c r="D103" s="280" t="s">
        <v>273</v>
      </c>
      <c r="E103" s="280"/>
      <c r="F103" s="2" t="s">
        <v>249</v>
      </c>
      <c r="G103" s="37">
        <v>9.7889999999999997</v>
      </c>
      <c r="H103" s="38">
        <v>0</v>
      </c>
    </row>
    <row r="104" spans="1:8" x14ac:dyDescent="0.25">
      <c r="A104" s="85"/>
      <c r="D104" s="96" t="s">
        <v>1380</v>
      </c>
      <c r="E104" s="388" t="s">
        <v>1355</v>
      </c>
      <c r="F104" s="388"/>
      <c r="G104" s="97">
        <v>9.7889999999999997</v>
      </c>
      <c r="H104" s="98"/>
    </row>
    <row r="105" spans="1:8" x14ac:dyDescent="0.25">
      <c r="A105" s="1" t="s">
        <v>97</v>
      </c>
      <c r="B105" s="2" t="s">
        <v>89</v>
      </c>
      <c r="C105" s="2" t="s">
        <v>275</v>
      </c>
      <c r="D105" s="280" t="s">
        <v>276</v>
      </c>
      <c r="E105" s="280"/>
      <c r="F105" s="2" t="s">
        <v>222</v>
      </c>
      <c r="G105" s="37">
        <v>76.638149999999996</v>
      </c>
      <c r="H105" s="38">
        <v>0</v>
      </c>
    </row>
    <row r="106" spans="1:8" x14ac:dyDescent="0.25">
      <c r="A106" s="85"/>
      <c r="D106" s="96" t="s">
        <v>1371</v>
      </c>
      <c r="E106" s="388" t="s">
        <v>4</v>
      </c>
      <c r="F106" s="388"/>
      <c r="G106" s="97">
        <v>76.638149999999996</v>
      </c>
      <c r="H106" s="98"/>
    </row>
    <row r="107" spans="1:8" x14ac:dyDescent="0.25">
      <c r="A107" s="1" t="s">
        <v>99</v>
      </c>
      <c r="B107" s="2" t="s">
        <v>89</v>
      </c>
      <c r="C107" s="2" t="s">
        <v>278</v>
      </c>
      <c r="D107" s="280" t="s">
        <v>279</v>
      </c>
      <c r="E107" s="280"/>
      <c r="F107" s="2" t="s">
        <v>249</v>
      </c>
      <c r="G107" s="37">
        <v>94.992819999999995</v>
      </c>
      <c r="H107" s="38">
        <v>0</v>
      </c>
    </row>
    <row r="108" spans="1:8" x14ac:dyDescent="0.25">
      <c r="A108" s="85"/>
      <c r="D108" s="96" t="s">
        <v>1381</v>
      </c>
      <c r="E108" s="388" t="s">
        <v>4</v>
      </c>
      <c r="F108" s="388"/>
      <c r="G108" s="97">
        <v>2.34</v>
      </c>
      <c r="H108" s="98"/>
    </row>
    <row r="109" spans="1:8" x14ac:dyDescent="0.25">
      <c r="A109" s="1" t="s">
        <v>4</v>
      </c>
      <c r="B109" s="2" t="s">
        <v>4</v>
      </c>
      <c r="C109" s="2" t="s">
        <v>4</v>
      </c>
      <c r="D109" s="96" t="s">
        <v>1382</v>
      </c>
      <c r="E109" s="388" t="s">
        <v>4</v>
      </c>
      <c r="F109" s="388"/>
      <c r="G109" s="97">
        <v>6.93</v>
      </c>
      <c r="H109" s="79" t="s">
        <v>4</v>
      </c>
    </row>
    <row r="110" spans="1:8" x14ac:dyDescent="0.25">
      <c r="A110" s="1" t="s">
        <v>4</v>
      </c>
      <c r="B110" s="2" t="s">
        <v>4</v>
      </c>
      <c r="C110" s="2" t="s">
        <v>4</v>
      </c>
      <c r="D110" s="96" t="s">
        <v>1383</v>
      </c>
      <c r="E110" s="388" t="s">
        <v>4</v>
      </c>
      <c r="F110" s="388"/>
      <c r="G110" s="97">
        <v>30.768000000000001</v>
      </c>
      <c r="H110" s="79" t="s">
        <v>4</v>
      </c>
    </row>
    <row r="111" spans="1:8" x14ac:dyDescent="0.25">
      <c r="A111" s="1" t="s">
        <v>4</v>
      </c>
      <c r="B111" s="2" t="s">
        <v>4</v>
      </c>
      <c r="C111" s="2" t="s">
        <v>4</v>
      </c>
      <c r="D111" s="96" t="s">
        <v>1384</v>
      </c>
      <c r="E111" s="388" t="s">
        <v>4</v>
      </c>
      <c r="F111" s="388"/>
      <c r="G111" s="97">
        <v>53.627499999999998</v>
      </c>
      <c r="H111" s="79" t="s">
        <v>4</v>
      </c>
    </row>
    <row r="112" spans="1:8" x14ac:dyDescent="0.25">
      <c r="A112" s="1" t="s">
        <v>4</v>
      </c>
      <c r="B112" s="2" t="s">
        <v>4</v>
      </c>
      <c r="C112" s="2" t="s">
        <v>4</v>
      </c>
      <c r="D112" s="96" t="s">
        <v>1385</v>
      </c>
      <c r="E112" s="388" t="s">
        <v>4</v>
      </c>
      <c r="F112" s="388"/>
      <c r="G112" s="97">
        <v>1.3273200000000001</v>
      </c>
      <c r="H112" s="79" t="s">
        <v>4</v>
      </c>
    </row>
    <row r="113" spans="1:8" x14ac:dyDescent="0.25">
      <c r="A113" s="1" t="s">
        <v>101</v>
      </c>
      <c r="B113" s="2" t="s">
        <v>89</v>
      </c>
      <c r="C113" s="2" t="s">
        <v>282</v>
      </c>
      <c r="D113" s="280" t="s">
        <v>283</v>
      </c>
      <c r="E113" s="280"/>
      <c r="F113" s="2" t="s">
        <v>222</v>
      </c>
      <c r="G113" s="37">
        <v>0.35699999999999998</v>
      </c>
      <c r="H113" s="38">
        <v>0</v>
      </c>
    </row>
    <row r="114" spans="1:8" x14ac:dyDescent="0.25">
      <c r="A114" s="85"/>
      <c r="D114" s="96" t="s">
        <v>1386</v>
      </c>
      <c r="E114" s="388" t="s">
        <v>4</v>
      </c>
      <c r="F114" s="388"/>
      <c r="G114" s="97">
        <v>0.35699999999999998</v>
      </c>
      <c r="H114" s="98"/>
    </row>
    <row r="115" spans="1:8" x14ac:dyDescent="0.25">
      <c r="A115" s="1" t="s">
        <v>285</v>
      </c>
      <c r="B115" s="2" t="s">
        <v>89</v>
      </c>
      <c r="C115" s="2" t="s">
        <v>286</v>
      </c>
      <c r="D115" s="280" t="s">
        <v>287</v>
      </c>
      <c r="E115" s="280"/>
      <c r="F115" s="2" t="s">
        <v>249</v>
      </c>
      <c r="G115" s="37">
        <v>1.44</v>
      </c>
      <c r="H115" s="38">
        <v>0</v>
      </c>
    </row>
    <row r="116" spans="1:8" x14ac:dyDescent="0.25">
      <c r="A116" s="85"/>
      <c r="D116" s="96" t="s">
        <v>1387</v>
      </c>
      <c r="E116" s="388" t="s">
        <v>4</v>
      </c>
      <c r="F116" s="388"/>
      <c r="G116" s="97">
        <v>1.44</v>
      </c>
      <c r="H116" s="98"/>
    </row>
    <row r="117" spans="1:8" x14ac:dyDescent="0.25">
      <c r="A117" s="1" t="s">
        <v>103</v>
      </c>
      <c r="B117" s="2" t="s">
        <v>89</v>
      </c>
      <c r="C117" s="2" t="s">
        <v>288</v>
      </c>
      <c r="D117" s="280" t="s">
        <v>289</v>
      </c>
      <c r="E117" s="280"/>
      <c r="F117" s="2" t="s">
        <v>249</v>
      </c>
      <c r="G117" s="37">
        <v>1.44</v>
      </c>
      <c r="H117" s="38">
        <v>0</v>
      </c>
    </row>
    <row r="118" spans="1:8" x14ac:dyDescent="0.25">
      <c r="A118" s="85"/>
      <c r="D118" s="96" t="s">
        <v>1387</v>
      </c>
      <c r="E118" s="388" t="s">
        <v>4</v>
      </c>
      <c r="F118" s="388"/>
      <c r="G118" s="97">
        <v>1.44</v>
      </c>
      <c r="H118" s="98"/>
    </row>
    <row r="119" spans="1:8" x14ac:dyDescent="0.25">
      <c r="A119" s="1" t="s">
        <v>290</v>
      </c>
      <c r="B119" s="2" t="s">
        <v>89</v>
      </c>
      <c r="C119" s="2" t="s">
        <v>291</v>
      </c>
      <c r="D119" s="280" t="s">
        <v>292</v>
      </c>
      <c r="E119" s="280"/>
      <c r="F119" s="2" t="s">
        <v>222</v>
      </c>
      <c r="G119" s="37">
        <v>1.929</v>
      </c>
      <c r="H119" s="38">
        <v>0</v>
      </c>
    </row>
    <row r="120" spans="1:8" x14ac:dyDescent="0.25">
      <c r="A120" s="85"/>
      <c r="D120" s="96" t="s">
        <v>1388</v>
      </c>
      <c r="E120" s="388" t="s">
        <v>1389</v>
      </c>
      <c r="F120" s="388"/>
      <c r="G120" s="97">
        <v>0.30399999999999999</v>
      </c>
      <c r="H120" s="98"/>
    </row>
    <row r="121" spans="1:8" x14ac:dyDescent="0.25">
      <c r="A121" s="1" t="s">
        <v>4</v>
      </c>
      <c r="B121" s="2" t="s">
        <v>4</v>
      </c>
      <c r="C121" s="2" t="s">
        <v>4</v>
      </c>
      <c r="D121" s="96" t="s">
        <v>1390</v>
      </c>
      <c r="E121" s="388" t="s">
        <v>1391</v>
      </c>
      <c r="F121" s="388"/>
      <c r="G121" s="97">
        <v>1.625</v>
      </c>
      <c r="H121" s="79" t="s">
        <v>4</v>
      </c>
    </row>
    <row r="122" spans="1:8" x14ac:dyDescent="0.25">
      <c r="A122" s="1" t="s">
        <v>293</v>
      </c>
      <c r="B122" s="2" t="s">
        <v>89</v>
      </c>
      <c r="C122" s="2" t="s">
        <v>294</v>
      </c>
      <c r="D122" s="280" t="s">
        <v>295</v>
      </c>
      <c r="E122" s="280"/>
      <c r="F122" s="2" t="s">
        <v>296</v>
      </c>
      <c r="G122" s="37">
        <v>0.44303999999999999</v>
      </c>
      <c r="H122" s="38">
        <v>0</v>
      </c>
    </row>
    <row r="123" spans="1:8" x14ac:dyDescent="0.25">
      <c r="A123" s="85"/>
      <c r="D123" s="96" t="s">
        <v>1392</v>
      </c>
      <c r="E123" s="388" t="s">
        <v>1389</v>
      </c>
      <c r="F123" s="388"/>
      <c r="G123" s="97">
        <v>5.9749999999999998E-2</v>
      </c>
      <c r="H123" s="98"/>
    </row>
    <row r="124" spans="1:8" x14ac:dyDescent="0.25">
      <c r="A124" s="1" t="s">
        <v>4</v>
      </c>
      <c r="B124" s="2" t="s">
        <v>4</v>
      </c>
      <c r="C124" s="2" t="s">
        <v>4</v>
      </c>
      <c r="D124" s="96" t="s">
        <v>1393</v>
      </c>
      <c r="E124" s="388" t="s">
        <v>1391</v>
      </c>
      <c r="F124" s="388"/>
      <c r="G124" s="97">
        <v>0.38329000000000002</v>
      </c>
      <c r="H124" s="79" t="s">
        <v>4</v>
      </c>
    </row>
    <row r="125" spans="1:8" x14ac:dyDescent="0.25">
      <c r="A125" s="1" t="s">
        <v>297</v>
      </c>
      <c r="B125" s="2" t="s">
        <v>89</v>
      </c>
      <c r="C125" s="2" t="s">
        <v>298</v>
      </c>
      <c r="D125" s="280" t="s">
        <v>299</v>
      </c>
      <c r="E125" s="280"/>
      <c r="F125" s="2" t="s">
        <v>222</v>
      </c>
      <c r="G125" s="37">
        <v>0.23400000000000001</v>
      </c>
      <c r="H125" s="38">
        <v>0</v>
      </c>
    </row>
    <row r="126" spans="1:8" x14ac:dyDescent="0.25">
      <c r="A126" s="85"/>
      <c r="D126" s="96" t="s">
        <v>1394</v>
      </c>
      <c r="E126" s="388" t="s">
        <v>4</v>
      </c>
      <c r="F126" s="388"/>
      <c r="G126" s="97">
        <v>0.23400000000000001</v>
      </c>
      <c r="H126" s="98"/>
    </row>
    <row r="127" spans="1:8" x14ac:dyDescent="0.25">
      <c r="A127" s="1" t="s">
        <v>300</v>
      </c>
      <c r="B127" s="2" t="s">
        <v>89</v>
      </c>
      <c r="C127" s="2" t="s">
        <v>301</v>
      </c>
      <c r="D127" s="280" t="s">
        <v>302</v>
      </c>
      <c r="E127" s="280"/>
      <c r="F127" s="2" t="s">
        <v>222</v>
      </c>
      <c r="G127" s="37">
        <v>0.72</v>
      </c>
      <c r="H127" s="38">
        <v>0</v>
      </c>
    </row>
    <row r="128" spans="1:8" x14ac:dyDescent="0.25">
      <c r="A128" s="85"/>
      <c r="D128" s="96" t="s">
        <v>1395</v>
      </c>
      <c r="E128" s="388" t="s">
        <v>1353</v>
      </c>
      <c r="F128" s="388"/>
      <c r="G128" s="97">
        <v>0.72</v>
      </c>
      <c r="H128" s="98"/>
    </row>
    <row r="129" spans="1:8" x14ac:dyDescent="0.25">
      <c r="A129" s="1" t="s">
        <v>303</v>
      </c>
      <c r="B129" s="2" t="s">
        <v>89</v>
      </c>
      <c r="C129" s="2" t="s">
        <v>304</v>
      </c>
      <c r="D129" s="280" t="s">
        <v>305</v>
      </c>
      <c r="E129" s="280"/>
      <c r="F129" s="2" t="s">
        <v>222</v>
      </c>
      <c r="G129" s="37">
        <v>0.80130999999999997</v>
      </c>
      <c r="H129" s="38">
        <v>0</v>
      </c>
    </row>
    <row r="130" spans="1:8" x14ac:dyDescent="0.25">
      <c r="A130" s="85"/>
      <c r="D130" s="96" t="s">
        <v>1396</v>
      </c>
      <c r="E130" s="388" t="s">
        <v>4</v>
      </c>
      <c r="F130" s="388"/>
      <c r="G130" s="97">
        <v>0.80130999999999997</v>
      </c>
      <c r="H130" s="98"/>
    </row>
    <row r="131" spans="1:8" x14ac:dyDescent="0.25">
      <c r="A131" s="1" t="s">
        <v>105</v>
      </c>
      <c r="B131" s="2" t="s">
        <v>89</v>
      </c>
      <c r="C131" s="2" t="s">
        <v>306</v>
      </c>
      <c r="D131" s="280" t="s">
        <v>307</v>
      </c>
      <c r="E131" s="280"/>
      <c r="F131" s="2" t="s">
        <v>222</v>
      </c>
      <c r="G131" s="37">
        <v>0.17671000000000001</v>
      </c>
      <c r="H131" s="38">
        <v>0</v>
      </c>
    </row>
    <row r="132" spans="1:8" x14ac:dyDescent="0.25">
      <c r="A132" s="85"/>
      <c r="D132" s="96" t="s">
        <v>1397</v>
      </c>
      <c r="E132" s="388" t="s">
        <v>1364</v>
      </c>
      <c r="F132" s="388"/>
      <c r="G132" s="97">
        <v>0.17671000000000001</v>
      </c>
      <c r="H132" s="98"/>
    </row>
    <row r="133" spans="1:8" x14ac:dyDescent="0.25">
      <c r="A133" s="1" t="s">
        <v>107</v>
      </c>
      <c r="B133" s="2" t="s">
        <v>89</v>
      </c>
      <c r="C133" s="2" t="s">
        <v>308</v>
      </c>
      <c r="D133" s="280" t="s">
        <v>309</v>
      </c>
      <c r="E133" s="280"/>
      <c r="F133" s="2" t="s">
        <v>249</v>
      </c>
      <c r="G133" s="37">
        <v>62.768999999999998</v>
      </c>
      <c r="H133" s="38">
        <v>0</v>
      </c>
    </row>
    <row r="134" spans="1:8" x14ac:dyDescent="0.25">
      <c r="A134" s="85"/>
      <c r="D134" s="96" t="s">
        <v>1398</v>
      </c>
      <c r="E134" s="388" t="s">
        <v>1361</v>
      </c>
      <c r="F134" s="388"/>
      <c r="G134" s="97">
        <v>62.768999999999998</v>
      </c>
      <c r="H134" s="98"/>
    </row>
    <row r="135" spans="1:8" x14ac:dyDescent="0.25">
      <c r="A135" s="1" t="s">
        <v>311</v>
      </c>
      <c r="B135" s="2" t="s">
        <v>89</v>
      </c>
      <c r="C135" s="2" t="s">
        <v>312</v>
      </c>
      <c r="D135" s="280" t="s">
        <v>313</v>
      </c>
      <c r="E135" s="280"/>
      <c r="F135" s="2" t="s">
        <v>296</v>
      </c>
      <c r="G135" s="37">
        <v>0.11024</v>
      </c>
      <c r="H135" s="38">
        <v>0</v>
      </c>
    </row>
    <row r="136" spans="1:8" x14ac:dyDescent="0.25">
      <c r="A136" s="85"/>
      <c r="D136" s="96" t="s">
        <v>1399</v>
      </c>
      <c r="E136" s="388" t="s">
        <v>1400</v>
      </c>
      <c r="F136" s="388"/>
      <c r="G136" s="97">
        <v>3.1199999999999999E-2</v>
      </c>
      <c r="H136" s="98"/>
    </row>
    <row r="137" spans="1:8" x14ac:dyDescent="0.25">
      <c r="A137" s="1" t="s">
        <v>4</v>
      </c>
      <c r="B137" s="2" t="s">
        <v>4</v>
      </c>
      <c r="C137" s="2" t="s">
        <v>4</v>
      </c>
      <c r="D137" s="96" t="s">
        <v>1401</v>
      </c>
      <c r="E137" s="388" t="s">
        <v>1402</v>
      </c>
      <c r="F137" s="388"/>
      <c r="G137" s="97">
        <v>5.9279999999999999E-2</v>
      </c>
      <c r="H137" s="79" t="s">
        <v>4</v>
      </c>
    </row>
    <row r="138" spans="1:8" x14ac:dyDescent="0.25">
      <c r="A138" s="1" t="s">
        <v>4</v>
      </c>
      <c r="B138" s="2" t="s">
        <v>4</v>
      </c>
      <c r="C138" s="2" t="s">
        <v>4</v>
      </c>
      <c r="D138" s="96" t="s">
        <v>1403</v>
      </c>
      <c r="E138" s="388" t="s">
        <v>1404</v>
      </c>
      <c r="F138" s="388"/>
      <c r="G138" s="97">
        <v>1.976E-2</v>
      </c>
      <c r="H138" s="79" t="s">
        <v>4</v>
      </c>
    </row>
    <row r="139" spans="1:8" x14ac:dyDescent="0.25">
      <c r="A139" s="1" t="s">
        <v>316</v>
      </c>
      <c r="B139" s="2" t="s">
        <v>89</v>
      </c>
      <c r="C139" s="2" t="s">
        <v>317</v>
      </c>
      <c r="D139" s="280" t="s">
        <v>318</v>
      </c>
      <c r="E139" s="280"/>
      <c r="F139" s="2" t="s">
        <v>296</v>
      </c>
      <c r="G139" s="37">
        <v>0.11906</v>
      </c>
      <c r="H139" s="38">
        <v>0</v>
      </c>
    </row>
    <row r="140" spans="1:8" x14ac:dyDescent="0.25">
      <c r="A140" s="85"/>
      <c r="D140" s="96" t="s">
        <v>1399</v>
      </c>
      <c r="E140" s="388" t="s">
        <v>1400</v>
      </c>
      <c r="F140" s="388"/>
      <c r="G140" s="97">
        <v>3.1199999999999999E-2</v>
      </c>
      <c r="H140" s="98"/>
    </row>
    <row r="141" spans="1:8" x14ac:dyDescent="0.25">
      <c r="A141" s="1" t="s">
        <v>4</v>
      </c>
      <c r="B141" s="2" t="s">
        <v>4</v>
      </c>
      <c r="C141" s="2" t="s">
        <v>4</v>
      </c>
      <c r="D141" s="96" t="s">
        <v>1401</v>
      </c>
      <c r="E141" s="388" t="s">
        <v>1402</v>
      </c>
      <c r="F141" s="388"/>
      <c r="G141" s="97">
        <v>5.9279999999999999E-2</v>
      </c>
      <c r="H141" s="79" t="s">
        <v>4</v>
      </c>
    </row>
    <row r="142" spans="1:8" x14ac:dyDescent="0.25">
      <c r="A142" s="1" t="s">
        <v>4</v>
      </c>
      <c r="B142" s="2" t="s">
        <v>4</v>
      </c>
      <c r="C142" s="2" t="s">
        <v>4</v>
      </c>
      <c r="D142" s="96" t="s">
        <v>1403</v>
      </c>
      <c r="E142" s="388" t="s">
        <v>1404</v>
      </c>
      <c r="F142" s="388"/>
      <c r="G142" s="97">
        <v>1.976E-2</v>
      </c>
      <c r="H142" s="79" t="s">
        <v>4</v>
      </c>
    </row>
    <row r="143" spans="1:8" x14ac:dyDescent="0.25">
      <c r="A143" s="1" t="s">
        <v>4</v>
      </c>
      <c r="B143" s="2" t="s">
        <v>4</v>
      </c>
      <c r="C143" s="2" t="s">
        <v>4</v>
      </c>
      <c r="D143" s="96" t="s">
        <v>1405</v>
      </c>
      <c r="E143" s="388" t="s">
        <v>4</v>
      </c>
      <c r="F143" s="388"/>
      <c r="G143" s="97">
        <v>8.8199999999999997E-3</v>
      </c>
      <c r="H143" s="79" t="s">
        <v>4</v>
      </c>
    </row>
    <row r="144" spans="1:8" x14ac:dyDescent="0.25">
      <c r="A144" s="1" t="s">
        <v>109</v>
      </c>
      <c r="B144" s="2" t="s">
        <v>89</v>
      </c>
      <c r="C144" s="2" t="s">
        <v>319</v>
      </c>
      <c r="D144" s="280" t="s">
        <v>320</v>
      </c>
      <c r="E144" s="280"/>
      <c r="F144" s="2" t="s">
        <v>296</v>
      </c>
      <c r="G144" s="37">
        <v>0.40376000000000001</v>
      </c>
      <c r="H144" s="38">
        <v>0</v>
      </c>
    </row>
    <row r="145" spans="1:8" x14ac:dyDescent="0.25">
      <c r="A145" s="85"/>
      <c r="D145" s="96" t="s">
        <v>1406</v>
      </c>
      <c r="E145" s="388" t="s">
        <v>4</v>
      </c>
      <c r="F145" s="388"/>
      <c r="G145" s="97">
        <v>9.2880000000000004E-2</v>
      </c>
      <c r="H145" s="98"/>
    </row>
    <row r="146" spans="1:8" x14ac:dyDescent="0.25">
      <c r="A146" s="1" t="s">
        <v>4</v>
      </c>
      <c r="B146" s="2" t="s">
        <v>4</v>
      </c>
      <c r="C146" s="2" t="s">
        <v>4</v>
      </c>
      <c r="D146" s="96" t="s">
        <v>1407</v>
      </c>
      <c r="E146" s="388" t="s">
        <v>4</v>
      </c>
      <c r="F146" s="388"/>
      <c r="G146" s="97">
        <v>0.31087999999999999</v>
      </c>
      <c r="H146" s="79" t="s">
        <v>4</v>
      </c>
    </row>
    <row r="147" spans="1:8" x14ac:dyDescent="0.25">
      <c r="A147" s="1" t="s">
        <v>321</v>
      </c>
      <c r="B147" s="2" t="s">
        <v>89</v>
      </c>
      <c r="C147" s="2" t="s">
        <v>322</v>
      </c>
      <c r="D147" s="280" t="s">
        <v>323</v>
      </c>
      <c r="E147" s="280"/>
      <c r="F147" s="2" t="s">
        <v>296</v>
      </c>
      <c r="G147" s="37">
        <v>0.43606</v>
      </c>
      <c r="H147" s="38">
        <v>0</v>
      </c>
    </row>
    <row r="148" spans="1:8" x14ac:dyDescent="0.25">
      <c r="A148" s="85"/>
      <c r="D148" s="96" t="s">
        <v>1406</v>
      </c>
      <c r="E148" s="388" t="s">
        <v>4</v>
      </c>
      <c r="F148" s="388"/>
      <c r="G148" s="97">
        <v>9.2880000000000004E-2</v>
      </c>
      <c r="H148" s="98"/>
    </row>
    <row r="149" spans="1:8" x14ac:dyDescent="0.25">
      <c r="A149" s="1" t="s">
        <v>4</v>
      </c>
      <c r="B149" s="2" t="s">
        <v>4</v>
      </c>
      <c r="C149" s="2" t="s">
        <v>4</v>
      </c>
      <c r="D149" s="96" t="s">
        <v>1408</v>
      </c>
      <c r="E149" s="388" t="s">
        <v>4</v>
      </c>
      <c r="F149" s="388"/>
      <c r="G149" s="97">
        <v>7.43E-3</v>
      </c>
      <c r="H149" s="79" t="s">
        <v>4</v>
      </c>
    </row>
    <row r="150" spans="1:8" x14ac:dyDescent="0.25">
      <c r="A150" s="1" t="s">
        <v>324</v>
      </c>
      <c r="B150" s="2" t="s">
        <v>89</v>
      </c>
      <c r="C150" s="2" t="s">
        <v>325</v>
      </c>
      <c r="D150" s="280" t="s">
        <v>326</v>
      </c>
      <c r="E150" s="280"/>
      <c r="F150" s="2" t="s">
        <v>296</v>
      </c>
      <c r="G150" s="37">
        <v>0.64015999999999995</v>
      </c>
      <c r="H150" s="38">
        <v>0</v>
      </c>
    </row>
    <row r="151" spans="1:8" x14ac:dyDescent="0.25">
      <c r="A151" s="85"/>
      <c r="D151" s="96" t="s">
        <v>1409</v>
      </c>
      <c r="E151" s="388" t="s">
        <v>4</v>
      </c>
      <c r="F151" s="388"/>
      <c r="G151" s="97">
        <v>0.13635</v>
      </c>
      <c r="H151" s="98"/>
    </row>
    <row r="152" spans="1:8" x14ac:dyDescent="0.25">
      <c r="A152" s="1" t="s">
        <v>4</v>
      </c>
      <c r="B152" s="2" t="s">
        <v>4</v>
      </c>
      <c r="C152" s="2" t="s">
        <v>4</v>
      </c>
      <c r="D152" s="96" t="s">
        <v>1410</v>
      </c>
      <c r="E152" s="388" t="s">
        <v>4</v>
      </c>
      <c r="F152" s="388"/>
      <c r="G152" s="97">
        <v>1.091E-2</v>
      </c>
      <c r="H152" s="79" t="s">
        <v>4</v>
      </c>
    </row>
    <row r="153" spans="1:8" x14ac:dyDescent="0.25">
      <c r="A153" s="1" t="s">
        <v>111</v>
      </c>
      <c r="B153" s="2" t="s">
        <v>89</v>
      </c>
      <c r="C153" s="2" t="s">
        <v>327</v>
      </c>
      <c r="D153" s="280" t="s">
        <v>328</v>
      </c>
      <c r="E153" s="280"/>
      <c r="F153" s="2" t="s">
        <v>329</v>
      </c>
      <c r="G153" s="37">
        <v>2</v>
      </c>
      <c r="H153" s="38">
        <v>0</v>
      </c>
    </row>
    <row r="154" spans="1:8" x14ac:dyDescent="0.25">
      <c r="A154" s="85"/>
      <c r="D154" s="96" t="s">
        <v>227</v>
      </c>
      <c r="E154" s="388" t="s">
        <v>4</v>
      </c>
      <c r="F154" s="388"/>
      <c r="G154" s="97">
        <v>2</v>
      </c>
      <c r="H154" s="98"/>
    </row>
    <row r="155" spans="1:8" x14ac:dyDescent="0.25">
      <c r="A155" s="1" t="s">
        <v>330</v>
      </c>
      <c r="B155" s="2" t="s">
        <v>89</v>
      </c>
      <c r="C155" s="2" t="s">
        <v>331</v>
      </c>
      <c r="D155" s="280" t="s">
        <v>332</v>
      </c>
      <c r="E155" s="280"/>
      <c r="F155" s="2" t="s">
        <v>333</v>
      </c>
      <c r="G155" s="37">
        <v>1.25</v>
      </c>
      <c r="H155" s="38">
        <v>0</v>
      </c>
    </row>
    <row r="156" spans="1:8" x14ac:dyDescent="0.25">
      <c r="A156" s="85"/>
      <c r="D156" s="96" t="s">
        <v>1411</v>
      </c>
      <c r="E156" s="388" t="s">
        <v>4</v>
      </c>
      <c r="F156" s="388"/>
      <c r="G156" s="97">
        <v>1.25</v>
      </c>
      <c r="H156" s="98"/>
    </row>
    <row r="157" spans="1:8" x14ac:dyDescent="0.25">
      <c r="A157" s="1" t="s">
        <v>335</v>
      </c>
      <c r="B157" s="2" t="s">
        <v>89</v>
      </c>
      <c r="C157" s="2" t="s">
        <v>336</v>
      </c>
      <c r="D157" s="280" t="s">
        <v>337</v>
      </c>
      <c r="E157" s="280"/>
      <c r="F157" s="2" t="s">
        <v>249</v>
      </c>
      <c r="G157" s="37">
        <v>0.1</v>
      </c>
      <c r="H157" s="38">
        <v>0</v>
      </c>
    </row>
    <row r="158" spans="1:8" x14ac:dyDescent="0.25">
      <c r="A158" s="85"/>
      <c r="D158" s="96" t="s">
        <v>1412</v>
      </c>
      <c r="E158" s="388" t="s">
        <v>4</v>
      </c>
      <c r="F158" s="388"/>
      <c r="G158" s="97">
        <v>0.1</v>
      </c>
      <c r="H158" s="98"/>
    </row>
    <row r="159" spans="1:8" x14ac:dyDescent="0.25">
      <c r="A159" s="1" t="s">
        <v>338</v>
      </c>
      <c r="B159" s="2" t="s">
        <v>89</v>
      </c>
      <c r="C159" s="2" t="s">
        <v>339</v>
      </c>
      <c r="D159" s="280" t="s">
        <v>340</v>
      </c>
      <c r="E159" s="280"/>
      <c r="F159" s="2" t="s">
        <v>249</v>
      </c>
      <c r="G159" s="37">
        <v>3.6150000000000002</v>
      </c>
      <c r="H159" s="38">
        <v>0</v>
      </c>
    </row>
    <row r="160" spans="1:8" x14ac:dyDescent="0.25">
      <c r="A160" s="85"/>
      <c r="D160" s="96" t="s">
        <v>1413</v>
      </c>
      <c r="E160" s="388" t="s">
        <v>4</v>
      </c>
      <c r="F160" s="388"/>
      <c r="G160" s="97">
        <v>3.6150000000000002</v>
      </c>
      <c r="H160" s="98"/>
    </row>
    <row r="161" spans="1:8" x14ac:dyDescent="0.25">
      <c r="A161" s="1" t="s">
        <v>341</v>
      </c>
      <c r="B161" s="2" t="s">
        <v>89</v>
      </c>
      <c r="C161" s="2" t="s">
        <v>342</v>
      </c>
      <c r="D161" s="280" t="s">
        <v>343</v>
      </c>
      <c r="E161" s="280"/>
      <c r="F161" s="2" t="s">
        <v>249</v>
      </c>
      <c r="G161" s="37">
        <v>25.285</v>
      </c>
      <c r="H161" s="38">
        <v>0</v>
      </c>
    </row>
    <row r="162" spans="1:8" x14ac:dyDescent="0.25">
      <c r="A162" s="85"/>
      <c r="D162" s="96" t="s">
        <v>1414</v>
      </c>
      <c r="E162" s="388" t="s">
        <v>4</v>
      </c>
      <c r="F162" s="388"/>
      <c r="G162" s="97">
        <v>25.285</v>
      </c>
      <c r="H162" s="98"/>
    </row>
    <row r="163" spans="1:8" x14ac:dyDescent="0.25">
      <c r="A163" s="1" t="s">
        <v>344</v>
      </c>
      <c r="B163" s="2" t="s">
        <v>89</v>
      </c>
      <c r="C163" s="2" t="s">
        <v>345</v>
      </c>
      <c r="D163" s="280" t="s">
        <v>346</v>
      </c>
      <c r="E163" s="280"/>
      <c r="F163" s="2" t="s">
        <v>249</v>
      </c>
      <c r="G163" s="37">
        <v>18.7331</v>
      </c>
      <c r="H163" s="38">
        <v>0</v>
      </c>
    </row>
    <row r="164" spans="1:8" x14ac:dyDescent="0.25">
      <c r="A164" s="85"/>
      <c r="D164" s="96" t="s">
        <v>1415</v>
      </c>
      <c r="E164" s="388" t="s">
        <v>4</v>
      </c>
      <c r="F164" s="388"/>
      <c r="G164" s="97">
        <v>18.7331</v>
      </c>
      <c r="H164" s="98"/>
    </row>
    <row r="165" spans="1:8" x14ac:dyDescent="0.25">
      <c r="A165" s="1" t="s">
        <v>347</v>
      </c>
      <c r="B165" s="2" t="s">
        <v>89</v>
      </c>
      <c r="C165" s="2" t="s">
        <v>348</v>
      </c>
      <c r="D165" s="280" t="s">
        <v>349</v>
      </c>
      <c r="E165" s="280"/>
      <c r="F165" s="2" t="s">
        <v>249</v>
      </c>
      <c r="G165" s="37">
        <v>10.3085</v>
      </c>
      <c r="H165" s="38">
        <v>0</v>
      </c>
    </row>
    <row r="166" spans="1:8" x14ac:dyDescent="0.25">
      <c r="A166" s="85"/>
      <c r="D166" s="96" t="s">
        <v>1416</v>
      </c>
      <c r="E166" s="388" t="s">
        <v>4</v>
      </c>
      <c r="F166" s="388"/>
      <c r="G166" s="97">
        <v>10.3085</v>
      </c>
      <c r="H166" s="98"/>
    </row>
    <row r="167" spans="1:8" x14ac:dyDescent="0.25">
      <c r="A167" s="1" t="s">
        <v>113</v>
      </c>
      <c r="B167" s="2" t="s">
        <v>89</v>
      </c>
      <c r="C167" s="2" t="s">
        <v>350</v>
      </c>
      <c r="D167" s="280" t="s">
        <v>351</v>
      </c>
      <c r="E167" s="280"/>
      <c r="F167" s="2" t="s">
        <v>249</v>
      </c>
      <c r="G167" s="37">
        <v>9.2690000000000001</v>
      </c>
      <c r="H167" s="38">
        <v>0</v>
      </c>
    </row>
    <row r="168" spans="1:8" x14ac:dyDescent="0.25">
      <c r="A168" s="85"/>
      <c r="D168" s="96" t="s">
        <v>1417</v>
      </c>
      <c r="E168" s="388" t="s">
        <v>4</v>
      </c>
      <c r="F168" s="388"/>
      <c r="G168" s="97">
        <v>9.2690000000000001</v>
      </c>
      <c r="H168" s="98"/>
    </row>
    <row r="169" spans="1:8" x14ac:dyDescent="0.25">
      <c r="A169" s="1" t="s">
        <v>353</v>
      </c>
      <c r="B169" s="2" t="s">
        <v>89</v>
      </c>
      <c r="C169" s="2" t="s">
        <v>354</v>
      </c>
      <c r="D169" s="280" t="s">
        <v>355</v>
      </c>
      <c r="E169" s="280"/>
      <c r="F169" s="2" t="s">
        <v>249</v>
      </c>
      <c r="G169" s="37">
        <v>31.757149999999999</v>
      </c>
      <c r="H169" s="38">
        <v>0</v>
      </c>
    </row>
    <row r="170" spans="1:8" x14ac:dyDescent="0.25">
      <c r="A170" s="85"/>
      <c r="D170" s="96" t="s">
        <v>1418</v>
      </c>
      <c r="E170" s="388" t="s">
        <v>4</v>
      </c>
      <c r="F170" s="388"/>
      <c r="G170" s="97">
        <v>11.044</v>
      </c>
      <c r="H170" s="98"/>
    </row>
    <row r="171" spans="1:8" x14ac:dyDescent="0.25">
      <c r="A171" s="1" t="s">
        <v>4</v>
      </c>
      <c r="B171" s="2" t="s">
        <v>4</v>
      </c>
      <c r="C171" s="2" t="s">
        <v>4</v>
      </c>
      <c r="D171" s="96" t="s">
        <v>1419</v>
      </c>
      <c r="E171" s="388" t="s">
        <v>4</v>
      </c>
      <c r="F171" s="388"/>
      <c r="G171" s="97">
        <v>20.713149999999999</v>
      </c>
      <c r="H171" s="79" t="s">
        <v>4</v>
      </c>
    </row>
    <row r="172" spans="1:8" x14ac:dyDescent="0.25">
      <c r="A172" s="1" t="s">
        <v>115</v>
      </c>
      <c r="B172" s="2" t="s">
        <v>89</v>
      </c>
      <c r="C172" s="2" t="s">
        <v>356</v>
      </c>
      <c r="D172" s="280" t="s">
        <v>357</v>
      </c>
      <c r="E172" s="280"/>
      <c r="F172" s="2" t="s">
        <v>249</v>
      </c>
      <c r="G172" s="37">
        <v>22.529499999999999</v>
      </c>
      <c r="H172" s="38">
        <v>0</v>
      </c>
    </row>
    <row r="173" spans="1:8" x14ac:dyDescent="0.25">
      <c r="A173" s="85"/>
      <c r="D173" s="96" t="s">
        <v>1420</v>
      </c>
      <c r="E173" s="388" t="s">
        <v>4</v>
      </c>
      <c r="F173" s="388"/>
      <c r="G173" s="97">
        <v>21.3475</v>
      </c>
      <c r="H173" s="98"/>
    </row>
    <row r="174" spans="1:8" x14ac:dyDescent="0.25">
      <c r="A174" s="1" t="s">
        <v>4</v>
      </c>
      <c r="B174" s="2" t="s">
        <v>4</v>
      </c>
      <c r="C174" s="2" t="s">
        <v>4</v>
      </c>
      <c r="D174" s="96" t="s">
        <v>1421</v>
      </c>
      <c r="E174" s="388" t="s">
        <v>4</v>
      </c>
      <c r="F174" s="388"/>
      <c r="G174" s="97">
        <v>1.1819999999999999</v>
      </c>
      <c r="H174" s="79" t="s">
        <v>4</v>
      </c>
    </row>
    <row r="175" spans="1:8" x14ac:dyDescent="0.25">
      <c r="A175" s="1" t="s">
        <v>358</v>
      </c>
      <c r="B175" s="2" t="s">
        <v>89</v>
      </c>
      <c r="C175" s="2" t="s">
        <v>359</v>
      </c>
      <c r="D175" s="280" t="s">
        <v>360</v>
      </c>
      <c r="E175" s="280"/>
      <c r="F175" s="2" t="s">
        <v>249</v>
      </c>
      <c r="G175" s="37">
        <v>23.436699999999998</v>
      </c>
      <c r="H175" s="38">
        <v>0</v>
      </c>
    </row>
    <row r="176" spans="1:8" x14ac:dyDescent="0.25">
      <c r="A176" s="85"/>
      <c r="D176" s="96" t="s">
        <v>1422</v>
      </c>
      <c r="E176" s="388" t="s">
        <v>4</v>
      </c>
      <c r="F176" s="388"/>
      <c r="G176" s="97">
        <v>19.177700000000002</v>
      </c>
      <c r="H176" s="98"/>
    </row>
    <row r="177" spans="1:8" x14ac:dyDescent="0.25">
      <c r="A177" s="1" t="s">
        <v>4</v>
      </c>
      <c r="B177" s="2" t="s">
        <v>4</v>
      </c>
      <c r="C177" s="2" t="s">
        <v>4</v>
      </c>
      <c r="D177" s="96" t="s">
        <v>1423</v>
      </c>
      <c r="E177" s="388" t="s">
        <v>4</v>
      </c>
      <c r="F177" s="388"/>
      <c r="G177" s="97">
        <v>4.2590000000000003</v>
      </c>
      <c r="H177" s="79" t="s">
        <v>4</v>
      </c>
    </row>
    <row r="178" spans="1:8" x14ac:dyDescent="0.25">
      <c r="A178" s="1" t="s">
        <v>361</v>
      </c>
      <c r="B178" s="2" t="s">
        <v>89</v>
      </c>
      <c r="C178" s="2" t="s">
        <v>362</v>
      </c>
      <c r="D178" s="280" t="s">
        <v>363</v>
      </c>
      <c r="E178" s="280"/>
      <c r="F178" s="2" t="s">
        <v>249</v>
      </c>
      <c r="G178" s="37">
        <v>2.8365</v>
      </c>
      <c r="H178" s="38">
        <v>0</v>
      </c>
    </row>
    <row r="179" spans="1:8" x14ac:dyDescent="0.25">
      <c r="A179" s="85"/>
      <c r="D179" s="96" t="s">
        <v>1424</v>
      </c>
      <c r="E179" s="388" t="s">
        <v>4</v>
      </c>
      <c r="F179" s="388"/>
      <c r="G179" s="97">
        <v>2.8365</v>
      </c>
      <c r="H179" s="98"/>
    </row>
    <row r="180" spans="1:8" x14ac:dyDescent="0.25">
      <c r="A180" s="1" t="s">
        <v>364</v>
      </c>
      <c r="B180" s="2" t="s">
        <v>89</v>
      </c>
      <c r="C180" s="2" t="s">
        <v>365</v>
      </c>
      <c r="D180" s="280" t="s">
        <v>366</v>
      </c>
      <c r="E180" s="280"/>
      <c r="F180" s="2" t="s">
        <v>222</v>
      </c>
      <c r="G180" s="37">
        <v>0.17956</v>
      </c>
      <c r="H180" s="38">
        <v>0</v>
      </c>
    </row>
    <row r="181" spans="1:8" x14ac:dyDescent="0.25">
      <c r="A181" s="85"/>
      <c r="D181" s="96" t="s">
        <v>1425</v>
      </c>
      <c r="E181" s="388" t="s">
        <v>4</v>
      </c>
      <c r="F181" s="388"/>
      <c r="G181" s="97">
        <v>0.17956</v>
      </c>
      <c r="H181" s="98"/>
    </row>
    <row r="182" spans="1:8" x14ac:dyDescent="0.25">
      <c r="A182" s="1" t="s">
        <v>369</v>
      </c>
      <c r="B182" s="2" t="s">
        <v>89</v>
      </c>
      <c r="C182" s="2" t="s">
        <v>370</v>
      </c>
      <c r="D182" s="280" t="s">
        <v>371</v>
      </c>
      <c r="E182" s="280"/>
      <c r="F182" s="2" t="s">
        <v>249</v>
      </c>
      <c r="G182" s="37">
        <v>2.0636000000000001</v>
      </c>
      <c r="H182" s="38">
        <v>0</v>
      </c>
    </row>
    <row r="183" spans="1:8" x14ac:dyDescent="0.25">
      <c r="A183" s="85"/>
      <c r="D183" s="96" t="s">
        <v>1426</v>
      </c>
      <c r="E183" s="388" t="s">
        <v>4</v>
      </c>
      <c r="F183" s="388"/>
      <c r="G183" s="97">
        <v>2.0636000000000001</v>
      </c>
      <c r="H183" s="98"/>
    </row>
    <row r="184" spans="1:8" x14ac:dyDescent="0.25">
      <c r="A184" s="1" t="s">
        <v>372</v>
      </c>
      <c r="B184" s="2" t="s">
        <v>89</v>
      </c>
      <c r="C184" s="2" t="s">
        <v>373</v>
      </c>
      <c r="D184" s="280" t="s">
        <v>374</v>
      </c>
      <c r="E184" s="280"/>
      <c r="F184" s="2" t="s">
        <v>249</v>
      </c>
      <c r="G184" s="37">
        <v>2.0636000000000001</v>
      </c>
      <c r="H184" s="38">
        <v>0</v>
      </c>
    </row>
    <row r="185" spans="1:8" x14ac:dyDescent="0.25">
      <c r="A185" s="85"/>
      <c r="D185" s="96" t="s">
        <v>1426</v>
      </c>
      <c r="E185" s="388" t="s">
        <v>4</v>
      </c>
      <c r="F185" s="388"/>
      <c r="G185" s="97">
        <v>2.0636000000000001</v>
      </c>
      <c r="H185" s="98"/>
    </row>
    <row r="186" spans="1:8" x14ac:dyDescent="0.25">
      <c r="A186" s="1" t="s">
        <v>375</v>
      </c>
      <c r="B186" s="2" t="s">
        <v>89</v>
      </c>
      <c r="C186" s="2" t="s">
        <v>376</v>
      </c>
      <c r="D186" s="280" t="s">
        <v>377</v>
      </c>
      <c r="E186" s="280"/>
      <c r="F186" s="2" t="s">
        <v>296</v>
      </c>
      <c r="G186" s="37">
        <v>9.58E-3</v>
      </c>
      <c r="H186" s="38">
        <v>0</v>
      </c>
    </row>
    <row r="187" spans="1:8" x14ac:dyDescent="0.25">
      <c r="A187" s="85"/>
      <c r="D187" s="96" t="s">
        <v>1427</v>
      </c>
      <c r="E187" s="388" t="s">
        <v>1428</v>
      </c>
      <c r="F187" s="388"/>
      <c r="G187" s="97">
        <v>6.3600000000000002E-3</v>
      </c>
      <c r="H187" s="98"/>
    </row>
    <row r="188" spans="1:8" x14ac:dyDescent="0.25">
      <c r="A188" s="1" t="s">
        <v>4</v>
      </c>
      <c r="B188" s="2" t="s">
        <v>4</v>
      </c>
      <c r="C188" s="2" t="s">
        <v>4</v>
      </c>
      <c r="D188" s="96" t="s">
        <v>1429</v>
      </c>
      <c r="E188" s="388" t="s">
        <v>1430</v>
      </c>
      <c r="F188" s="388"/>
      <c r="G188" s="97">
        <v>3.2200000000000002E-3</v>
      </c>
      <c r="H188" s="79" t="s">
        <v>4</v>
      </c>
    </row>
    <row r="189" spans="1:8" x14ac:dyDescent="0.25">
      <c r="A189" s="1" t="s">
        <v>378</v>
      </c>
      <c r="B189" s="2" t="s">
        <v>89</v>
      </c>
      <c r="C189" s="2" t="s">
        <v>379</v>
      </c>
      <c r="D189" s="280" t="s">
        <v>380</v>
      </c>
      <c r="E189" s="280"/>
      <c r="F189" s="2" t="s">
        <v>222</v>
      </c>
      <c r="G189" s="37">
        <v>0.36575000000000002</v>
      </c>
      <c r="H189" s="38">
        <v>0</v>
      </c>
    </row>
    <row r="190" spans="1:8" x14ac:dyDescent="0.25">
      <c r="A190" s="85"/>
      <c r="D190" s="96" t="s">
        <v>1431</v>
      </c>
      <c r="E190" s="388" t="s">
        <v>1432</v>
      </c>
      <c r="F190" s="388"/>
      <c r="G190" s="97">
        <v>0.27950000000000003</v>
      </c>
      <c r="H190" s="98"/>
    </row>
    <row r="191" spans="1:8" x14ac:dyDescent="0.25">
      <c r="A191" s="1" t="s">
        <v>4</v>
      </c>
      <c r="B191" s="2" t="s">
        <v>4</v>
      </c>
      <c r="C191" s="2" t="s">
        <v>4</v>
      </c>
      <c r="D191" s="96" t="s">
        <v>1433</v>
      </c>
      <c r="E191" s="388" t="s">
        <v>4</v>
      </c>
      <c r="F191" s="388"/>
      <c r="G191" s="97">
        <v>8.6249999999999993E-2</v>
      </c>
      <c r="H191" s="79" t="s">
        <v>4</v>
      </c>
    </row>
    <row r="192" spans="1:8" x14ac:dyDescent="0.25">
      <c r="A192" s="1" t="s">
        <v>381</v>
      </c>
      <c r="B192" s="2" t="s">
        <v>89</v>
      </c>
      <c r="C192" s="2" t="s">
        <v>382</v>
      </c>
      <c r="D192" s="280" t="s">
        <v>383</v>
      </c>
      <c r="E192" s="280"/>
      <c r="F192" s="2" t="s">
        <v>249</v>
      </c>
      <c r="G192" s="37">
        <v>4.8330000000000002</v>
      </c>
      <c r="H192" s="38">
        <v>0</v>
      </c>
    </row>
    <row r="193" spans="1:8" x14ac:dyDescent="0.25">
      <c r="A193" s="85"/>
      <c r="D193" s="96" t="s">
        <v>1434</v>
      </c>
      <c r="E193" s="388" t="s">
        <v>4</v>
      </c>
      <c r="F193" s="388"/>
      <c r="G193" s="97">
        <v>3.9129999999999998</v>
      </c>
      <c r="H193" s="98"/>
    </row>
    <row r="194" spans="1:8" x14ac:dyDescent="0.25">
      <c r="A194" s="1" t="s">
        <v>4</v>
      </c>
      <c r="B194" s="2" t="s">
        <v>4</v>
      </c>
      <c r="C194" s="2" t="s">
        <v>4</v>
      </c>
      <c r="D194" s="96" t="s">
        <v>1435</v>
      </c>
      <c r="E194" s="388" t="s">
        <v>4</v>
      </c>
      <c r="F194" s="388"/>
      <c r="G194" s="97">
        <v>0.92</v>
      </c>
      <c r="H194" s="79" t="s">
        <v>4</v>
      </c>
    </row>
    <row r="195" spans="1:8" x14ac:dyDescent="0.25">
      <c r="A195" s="1" t="s">
        <v>384</v>
      </c>
      <c r="B195" s="2" t="s">
        <v>89</v>
      </c>
      <c r="C195" s="2" t="s">
        <v>385</v>
      </c>
      <c r="D195" s="280" t="s">
        <v>386</v>
      </c>
      <c r="E195" s="280"/>
      <c r="F195" s="2" t="s">
        <v>249</v>
      </c>
      <c r="G195" s="37">
        <v>4.8330000000000002</v>
      </c>
      <c r="H195" s="38">
        <v>0</v>
      </c>
    </row>
    <row r="196" spans="1:8" x14ac:dyDescent="0.25">
      <c r="A196" s="85"/>
      <c r="D196" s="96" t="s">
        <v>1434</v>
      </c>
      <c r="E196" s="388" t="s">
        <v>4</v>
      </c>
      <c r="F196" s="388"/>
      <c r="G196" s="97">
        <v>3.9129999999999998</v>
      </c>
      <c r="H196" s="98"/>
    </row>
    <row r="197" spans="1:8" x14ac:dyDescent="0.25">
      <c r="A197" s="1" t="s">
        <v>4</v>
      </c>
      <c r="B197" s="2" t="s">
        <v>4</v>
      </c>
      <c r="C197" s="2" t="s">
        <v>4</v>
      </c>
      <c r="D197" s="96" t="s">
        <v>1435</v>
      </c>
      <c r="E197" s="388" t="s">
        <v>4</v>
      </c>
      <c r="F197" s="388"/>
      <c r="G197" s="97">
        <v>0.92</v>
      </c>
      <c r="H197" s="79" t="s">
        <v>4</v>
      </c>
    </row>
    <row r="198" spans="1:8" x14ac:dyDescent="0.25">
      <c r="A198" s="1" t="s">
        <v>387</v>
      </c>
      <c r="B198" s="2" t="s">
        <v>89</v>
      </c>
      <c r="C198" s="2" t="s">
        <v>388</v>
      </c>
      <c r="D198" s="280" t="s">
        <v>389</v>
      </c>
      <c r="E198" s="280"/>
      <c r="F198" s="2" t="s">
        <v>296</v>
      </c>
      <c r="G198" s="37">
        <v>2.895E-2</v>
      </c>
      <c r="H198" s="38">
        <v>0</v>
      </c>
    </row>
    <row r="199" spans="1:8" x14ac:dyDescent="0.25">
      <c r="A199" s="85"/>
      <c r="D199" s="96" t="s">
        <v>1436</v>
      </c>
      <c r="E199" s="388" t="s">
        <v>1428</v>
      </c>
      <c r="F199" s="388"/>
      <c r="G199" s="97">
        <v>2.2499999999999999E-2</v>
      </c>
      <c r="H199" s="98"/>
    </row>
    <row r="200" spans="1:8" x14ac:dyDescent="0.25">
      <c r="A200" s="1" t="s">
        <v>4</v>
      </c>
      <c r="B200" s="2" t="s">
        <v>4</v>
      </c>
      <c r="C200" s="2" t="s">
        <v>4</v>
      </c>
      <c r="D200" s="96" t="s">
        <v>1437</v>
      </c>
      <c r="E200" s="388" t="s">
        <v>1438</v>
      </c>
      <c r="F200" s="388"/>
      <c r="G200" s="97">
        <v>6.45E-3</v>
      </c>
      <c r="H200" s="79" t="s">
        <v>4</v>
      </c>
    </row>
    <row r="201" spans="1:8" x14ac:dyDescent="0.25">
      <c r="A201" s="1" t="s">
        <v>390</v>
      </c>
      <c r="B201" s="2" t="s">
        <v>89</v>
      </c>
      <c r="C201" s="2" t="s">
        <v>391</v>
      </c>
      <c r="D201" s="280" t="s">
        <v>392</v>
      </c>
      <c r="E201" s="280"/>
      <c r="F201" s="2" t="s">
        <v>249</v>
      </c>
      <c r="G201" s="37">
        <v>170.51</v>
      </c>
      <c r="H201" s="38">
        <v>0</v>
      </c>
    </row>
    <row r="202" spans="1:8" x14ac:dyDescent="0.25">
      <c r="A202" s="85"/>
      <c r="D202" s="96" t="s">
        <v>1439</v>
      </c>
      <c r="E202" s="388" t="s">
        <v>1440</v>
      </c>
      <c r="F202" s="388"/>
      <c r="G202" s="97">
        <v>104.79</v>
      </c>
      <c r="H202" s="98"/>
    </row>
    <row r="203" spans="1:8" x14ac:dyDescent="0.25">
      <c r="A203" s="1" t="s">
        <v>4</v>
      </c>
      <c r="B203" s="2" t="s">
        <v>4</v>
      </c>
      <c r="C203" s="2" t="s">
        <v>4</v>
      </c>
      <c r="D203" s="96" t="s">
        <v>1441</v>
      </c>
      <c r="E203" s="388" t="s">
        <v>1442</v>
      </c>
      <c r="F203" s="388"/>
      <c r="G203" s="97">
        <v>65.72</v>
      </c>
      <c r="H203" s="79" t="s">
        <v>4</v>
      </c>
    </row>
    <row r="204" spans="1:8" x14ac:dyDescent="0.25">
      <c r="A204" s="1" t="s">
        <v>393</v>
      </c>
      <c r="B204" s="2" t="s">
        <v>89</v>
      </c>
      <c r="C204" s="2" t="s">
        <v>394</v>
      </c>
      <c r="D204" s="280" t="s">
        <v>395</v>
      </c>
      <c r="E204" s="280"/>
      <c r="F204" s="2" t="s">
        <v>222</v>
      </c>
      <c r="G204" s="37">
        <v>1.0681099999999999</v>
      </c>
      <c r="H204" s="38">
        <v>0</v>
      </c>
    </row>
    <row r="205" spans="1:8" x14ac:dyDescent="0.25">
      <c r="A205" s="85"/>
      <c r="D205" s="96" t="s">
        <v>1443</v>
      </c>
      <c r="E205" s="388" t="s">
        <v>4</v>
      </c>
      <c r="F205" s="388"/>
      <c r="G205" s="97">
        <v>0.53100000000000003</v>
      </c>
      <c r="H205" s="98"/>
    </row>
    <row r="206" spans="1:8" x14ac:dyDescent="0.25">
      <c r="A206" s="1" t="s">
        <v>4</v>
      </c>
      <c r="B206" s="2" t="s">
        <v>4</v>
      </c>
      <c r="C206" s="2" t="s">
        <v>4</v>
      </c>
      <c r="D206" s="96" t="s">
        <v>1444</v>
      </c>
      <c r="E206" s="388" t="s">
        <v>4</v>
      </c>
      <c r="F206" s="388"/>
      <c r="G206" s="97">
        <v>0.53710999999999998</v>
      </c>
      <c r="H206" s="79" t="s">
        <v>4</v>
      </c>
    </row>
    <row r="207" spans="1:8" x14ac:dyDescent="0.25">
      <c r="A207" s="1" t="s">
        <v>117</v>
      </c>
      <c r="B207" s="2" t="s">
        <v>89</v>
      </c>
      <c r="C207" s="2" t="s">
        <v>397</v>
      </c>
      <c r="D207" s="280" t="s">
        <v>398</v>
      </c>
      <c r="E207" s="280"/>
      <c r="F207" s="2" t="s">
        <v>296</v>
      </c>
      <c r="G207" s="37">
        <v>3.075E-2</v>
      </c>
      <c r="H207" s="38">
        <v>0</v>
      </c>
    </row>
    <row r="208" spans="1:8" x14ac:dyDescent="0.25">
      <c r="A208" s="85"/>
      <c r="D208" s="96" t="s">
        <v>1445</v>
      </c>
      <c r="E208" s="388" t="s">
        <v>4</v>
      </c>
      <c r="F208" s="388"/>
      <c r="G208" s="97">
        <v>3.075E-2</v>
      </c>
      <c r="H208" s="98"/>
    </row>
    <row r="209" spans="1:8" x14ac:dyDescent="0.25">
      <c r="A209" s="1" t="s">
        <v>399</v>
      </c>
      <c r="B209" s="2" t="s">
        <v>89</v>
      </c>
      <c r="C209" s="2" t="s">
        <v>400</v>
      </c>
      <c r="D209" s="280" t="s">
        <v>401</v>
      </c>
      <c r="E209" s="280"/>
      <c r="F209" s="2" t="s">
        <v>329</v>
      </c>
      <c r="G209" s="37">
        <v>6</v>
      </c>
      <c r="H209" s="38">
        <v>0</v>
      </c>
    </row>
    <row r="210" spans="1:8" x14ac:dyDescent="0.25">
      <c r="A210" s="85"/>
      <c r="D210" s="96" t="s">
        <v>240</v>
      </c>
      <c r="E210" s="388" t="s">
        <v>4</v>
      </c>
      <c r="F210" s="388"/>
      <c r="G210" s="97">
        <v>6</v>
      </c>
      <c r="H210" s="98"/>
    </row>
    <row r="211" spans="1:8" x14ac:dyDescent="0.25">
      <c r="A211" s="1" t="s">
        <v>402</v>
      </c>
      <c r="B211" s="2" t="s">
        <v>89</v>
      </c>
      <c r="C211" s="2" t="s">
        <v>403</v>
      </c>
      <c r="D211" s="280" t="s">
        <v>404</v>
      </c>
      <c r="E211" s="280"/>
      <c r="F211" s="2" t="s">
        <v>329</v>
      </c>
      <c r="G211" s="37">
        <v>6</v>
      </c>
      <c r="H211" s="38">
        <v>0</v>
      </c>
    </row>
    <row r="212" spans="1:8" x14ac:dyDescent="0.25">
      <c r="A212" s="85"/>
      <c r="D212" s="96" t="s">
        <v>240</v>
      </c>
      <c r="E212" s="388" t="s">
        <v>4</v>
      </c>
      <c r="F212" s="388"/>
      <c r="G212" s="97">
        <v>6</v>
      </c>
      <c r="H212" s="98"/>
    </row>
    <row r="213" spans="1:8" x14ac:dyDescent="0.25">
      <c r="A213" s="1" t="s">
        <v>119</v>
      </c>
      <c r="B213" s="2" t="s">
        <v>89</v>
      </c>
      <c r="C213" s="2" t="s">
        <v>405</v>
      </c>
      <c r="D213" s="280" t="s">
        <v>406</v>
      </c>
      <c r="E213" s="280"/>
      <c r="F213" s="2" t="s">
        <v>249</v>
      </c>
      <c r="G213" s="37">
        <v>2.17638</v>
      </c>
      <c r="H213" s="38">
        <v>0</v>
      </c>
    </row>
    <row r="214" spans="1:8" x14ac:dyDescent="0.25">
      <c r="A214" s="85"/>
      <c r="D214" s="96" t="s">
        <v>1446</v>
      </c>
      <c r="E214" s="388" t="s">
        <v>4</v>
      </c>
      <c r="F214" s="388"/>
      <c r="G214" s="97">
        <v>1.8645</v>
      </c>
      <c r="H214" s="98"/>
    </row>
    <row r="215" spans="1:8" x14ac:dyDescent="0.25">
      <c r="A215" s="1" t="s">
        <v>4</v>
      </c>
      <c r="B215" s="2" t="s">
        <v>4</v>
      </c>
      <c r="C215" s="2" t="s">
        <v>4</v>
      </c>
      <c r="D215" s="96" t="s">
        <v>1447</v>
      </c>
      <c r="E215" s="388" t="s">
        <v>4</v>
      </c>
      <c r="F215" s="388"/>
      <c r="G215" s="97">
        <v>0.31187999999999999</v>
      </c>
      <c r="H215" s="79" t="s">
        <v>4</v>
      </c>
    </row>
    <row r="216" spans="1:8" x14ac:dyDescent="0.25">
      <c r="A216" s="1" t="s">
        <v>407</v>
      </c>
      <c r="B216" s="2" t="s">
        <v>89</v>
      </c>
      <c r="C216" s="2" t="s">
        <v>408</v>
      </c>
      <c r="D216" s="280" t="s">
        <v>409</v>
      </c>
      <c r="E216" s="280"/>
      <c r="F216" s="2" t="s">
        <v>249</v>
      </c>
      <c r="G216" s="37">
        <v>2.17638</v>
      </c>
      <c r="H216" s="38">
        <v>0</v>
      </c>
    </row>
    <row r="217" spans="1:8" x14ac:dyDescent="0.25">
      <c r="A217" s="85"/>
      <c r="D217" s="96" t="s">
        <v>1446</v>
      </c>
      <c r="E217" s="388" t="s">
        <v>4</v>
      </c>
      <c r="F217" s="388"/>
      <c r="G217" s="97">
        <v>1.8645</v>
      </c>
      <c r="H217" s="98"/>
    </row>
    <row r="218" spans="1:8" x14ac:dyDescent="0.25">
      <c r="A218" s="1" t="s">
        <v>4</v>
      </c>
      <c r="B218" s="2" t="s">
        <v>4</v>
      </c>
      <c r="C218" s="2" t="s">
        <v>4</v>
      </c>
      <c r="D218" s="96" t="s">
        <v>1447</v>
      </c>
      <c r="E218" s="388" t="s">
        <v>4</v>
      </c>
      <c r="F218" s="388"/>
      <c r="G218" s="97">
        <v>0.31187999999999999</v>
      </c>
      <c r="H218" s="79" t="s">
        <v>4</v>
      </c>
    </row>
    <row r="219" spans="1:8" x14ac:dyDescent="0.25">
      <c r="A219" s="1" t="s">
        <v>121</v>
      </c>
      <c r="B219" s="2" t="s">
        <v>89</v>
      </c>
      <c r="C219" s="2" t="s">
        <v>410</v>
      </c>
      <c r="D219" s="280" t="s">
        <v>411</v>
      </c>
      <c r="E219" s="280"/>
      <c r="F219" s="2" t="s">
        <v>249</v>
      </c>
      <c r="G219" s="37">
        <v>91.755499999999998</v>
      </c>
      <c r="H219" s="38">
        <v>0</v>
      </c>
    </row>
    <row r="220" spans="1:8" x14ac:dyDescent="0.25">
      <c r="A220" s="85"/>
      <c r="D220" s="96" t="s">
        <v>1448</v>
      </c>
      <c r="E220" s="388" t="s">
        <v>1358</v>
      </c>
      <c r="F220" s="388"/>
      <c r="G220" s="97">
        <v>5.72</v>
      </c>
      <c r="H220" s="98"/>
    </row>
    <row r="221" spans="1:8" x14ac:dyDescent="0.25">
      <c r="A221" s="1" t="s">
        <v>4</v>
      </c>
      <c r="B221" s="2" t="s">
        <v>4</v>
      </c>
      <c r="C221" s="2" t="s">
        <v>4</v>
      </c>
      <c r="D221" s="96" t="s">
        <v>1449</v>
      </c>
      <c r="E221" s="388" t="s">
        <v>4</v>
      </c>
      <c r="F221" s="388"/>
      <c r="G221" s="97">
        <v>33.728000000000002</v>
      </c>
      <c r="H221" s="79" t="s">
        <v>4</v>
      </c>
    </row>
    <row r="222" spans="1:8" x14ac:dyDescent="0.25">
      <c r="A222" s="1" t="s">
        <v>4</v>
      </c>
      <c r="B222" s="2" t="s">
        <v>4</v>
      </c>
      <c r="C222" s="2" t="s">
        <v>4</v>
      </c>
      <c r="D222" s="96" t="s">
        <v>1450</v>
      </c>
      <c r="E222" s="388" t="s">
        <v>1361</v>
      </c>
      <c r="F222" s="388"/>
      <c r="G222" s="97">
        <v>52.307499999999997</v>
      </c>
      <c r="H222" s="79" t="s">
        <v>4</v>
      </c>
    </row>
    <row r="223" spans="1:8" x14ac:dyDescent="0.25">
      <c r="A223" s="1" t="s">
        <v>123</v>
      </c>
      <c r="B223" s="2" t="s">
        <v>89</v>
      </c>
      <c r="C223" s="2" t="s">
        <v>414</v>
      </c>
      <c r="D223" s="280" t="s">
        <v>415</v>
      </c>
      <c r="E223" s="280"/>
      <c r="F223" s="2" t="s">
        <v>249</v>
      </c>
      <c r="G223" s="37">
        <v>91.755499999999998</v>
      </c>
      <c r="H223" s="38">
        <v>0</v>
      </c>
    </row>
    <row r="224" spans="1:8" x14ac:dyDescent="0.25">
      <c r="A224" s="85"/>
      <c r="D224" s="96" t="s">
        <v>1448</v>
      </c>
      <c r="E224" s="388" t="s">
        <v>1358</v>
      </c>
      <c r="F224" s="388"/>
      <c r="G224" s="97">
        <v>5.72</v>
      </c>
      <c r="H224" s="98"/>
    </row>
    <row r="225" spans="1:8" x14ac:dyDescent="0.25">
      <c r="A225" s="1" t="s">
        <v>4</v>
      </c>
      <c r="B225" s="2" t="s">
        <v>4</v>
      </c>
      <c r="C225" s="2" t="s">
        <v>4</v>
      </c>
      <c r="D225" s="96" t="s">
        <v>1449</v>
      </c>
      <c r="E225" s="388" t="s">
        <v>4</v>
      </c>
      <c r="F225" s="388"/>
      <c r="G225" s="97">
        <v>33.728000000000002</v>
      </c>
      <c r="H225" s="79" t="s">
        <v>4</v>
      </c>
    </row>
    <row r="226" spans="1:8" x14ac:dyDescent="0.25">
      <c r="A226" s="1" t="s">
        <v>4</v>
      </c>
      <c r="B226" s="2" t="s">
        <v>4</v>
      </c>
      <c r="C226" s="2" t="s">
        <v>4</v>
      </c>
      <c r="D226" s="96" t="s">
        <v>1450</v>
      </c>
      <c r="E226" s="388" t="s">
        <v>1361</v>
      </c>
      <c r="F226" s="388"/>
      <c r="G226" s="97">
        <v>52.307499999999997</v>
      </c>
      <c r="H226" s="79" t="s">
        <v>4</v>
      </c>
    </row>
    <row r="227" spans="1:8" x14ac:dyDescent="0.25">
      <c r="A227" s="1" t="s">
        <v>125</v>
      </c>
      <c r="B227" s="2" t="s">
        <v>89</v>
      </c>
      <c r="C227" s="2" t="s">
        <v>416</v>
      </c>
      <c r="D227" s="280" t="s">
        <v>417</v>
      </c>
      <c r="E227" s="280"/>
      <c r="F227" s="2" t="s">
        <v>249</v>
      </c>
      <c r="G227" s="37">
        <v>39.448</v>
      </c>
      <c r="H227" s="38">
        <v>0</v>
      </c>
    </row>
    <row r="228" spans="1:8" x14ac:dyDescent="0.25">
      <c r="A228" s="85"/>
      <c r="D228" s="96" t="s">
        <v>1448</v>
      </c>
      <c r="E228" s="388" t="s">
        <v>1358</v>
      </c>
      <c r="F228" s="388"/>
      <c r="G228" s="97">
        <v>5.72</v>
      </c>
      <c r="H228" s="98"/>
    </row>
    <row r="229" spans="1:8" x14ac:dyDescent="0.25">
      <c r="A229" s="1" t="s">
        <v>4</v>
      </c>
      <c r="B229" s="2" t="s">
        <v>4</v>
      </c>
      <c r="C229" s="2" t="s">
        <v>4</v>
      </c>
      <c r="D229" s="96" t="s">
        <v>1449</v>
      </c>
      <c r="E229" s="388" t="s">
        <v>4</v>
      </c>
      <c r="F229" s="388"/>
      <c r="G229" s="97">
        <v>33.728000000000002</v>
      </c>
      <c r="H229" s="79" t="s">
        <v>4</v>
      </c>
    </row>
    <row r="230" spans="1:8" x14ac:dyDescent="0.25">
      <c r="A230" s="1" t="s">
        <v>127</v>
      </c>
      <c r="B230" s="2" t="s">
        <v>89</v>
      </c>
      <c r="C230" s="2" t="s">
        <v>418</v>
      </c>
      <c r="D230" s="280" t="s">
        <v>419</v>
      </c>
      <c r="E230" s="280"/>
      <c r="F230" s="2" t="s">
        <v>249</v>
      </c>
      <c r="G230" s="37">
        <v>52.307499999999997</v>
      </c>
      <c r="H230" s="38">
        <v>0</v>
      </c>
    </row>
    <row r="231" spans="1:8" x14ac:dyDescent="0.25">
      <c r="A231" s="85"/>
      <c r="D231" s="96" t="s">
        <v>1450</v>
      </c>
      <c r="E231" s="388" t="s">
        <v>1361</v>
      </c>
      <c r="F231" s="388"/>
      <c r="G231" s="97">
        <v>52.307499999999997</v>
      </c>
      <c r="H231" s="98"/>
    </row>
    <row r="232" spans="1:8" x14ac:dyDescent="0.25">
      <c r="A232" s="1" t="s">
        <v>420</v>
      </c>
      <c r="B232" s="2" t="s">
        <v>89</v>
      </c>
      <c r="C232" s="2" t="s">
        <v>421</v>
      </c>
      <c r="D232" s="280" t="s">
        <v>422</v>
      </c>
      <c r="E232" s="280"/>
      <c r="F232" s="2" t="s">
        <v>249</v>
      </c>
      <c r="G232" s="37">
        <v>52.307499999999997</v>
      </c>
      <c r="H232" s="38">
        <v>0</v>
      </c>
    </row>
    <row r="233" spans="1:8" x14ac:dyDescent="0.25">
      <c r="A233" s="85"/>
      <c r="D233" s="96" t="s">
        <v>1450</v>
      </c>
      <c r="E233" s="388" t="s">
        <v>1361</v>
      </c>
      <c r="F233" s="388"/>
      <c r="G233" s="97">
        <v>52.307499999999997</v>
      </c>
      <c r="H233" s="98"/>
    </row>
    <row r="234" spans="1:8" x14ac:dyDescent="0.25">
      <c r="A234" s="1" t="s">
        <v>423</v>
      </c>
      <c r="B234" s="2" t="s">
        <v>89</v>
      </c>
      <c r="C234" s="2" t="s">
        <v>418</v>
      </c>
      <c r="D234" s="280" t="s">
        <v>424</v>
      </c>
      <c r="E234" s="280"/>
      <c r="F234" s="2" t="s">
        <v>249</v>
      </c>
      <c r="G234" s="37">
        <v>2.1720000000000002</v>
      </c>
      <c r="H234" s="38">
        <v>0</v>
      </c>
    </row>
    <row r="235" spans="1:8" x14ac:dyDescent="0.25">
      <c r="A235" s="85"/>
      <c r="D235" s="96" t="s">
        <v>1451</v>
      </c>
      <c r="E235" s="388" t="s">
        <v>1452</v>
      </c>
      <c r="F235" s="388"/>
      <c r="G235" s="97">
        <v>2.1720000000000002</v>
      </c>
      <c r="H235" s="98"/>
    </row>
    <row r="236" spans="1:8" x14ac:dyDescent="0.25">
      <c r="A236" s="1" t="s">
        <v>425</v>
      </c>
      <c r="B236" s="2" t="s">
        <v>89</v>
      </c>
      <c r="C236" s="2" t="s">
        <v>426</v>
      </c>
      <c r="D236" s="280" t="s">
        <v>427</v>
      </c>
      <c r="E236" s="280"/>
      <c r="F236" s="2" t="s">
        <v>249</v>
      </c>
      <c r="G236" s="37">
        <v>39.448</v>
      </c>
      <c r="H236" s="38">
        <v>0</v>
      </c>
    </row>
    <row r="237" spans="1:8" x14ac:dyDescent="0.25">
      <c r="A237" s="85"/>
      <c r="D237" s="96" t="s">
        <v>1448</v>
      </c>
      <c r="E237" s="388" t="s">
        <v>1358</v>
      </c>
      <c r="F237" s="388"/>
      <c r="G237" s="97">
        <v>5.72</v>
      </c>
      <c r="H237" s="98"/>
    </row>
    <row r="238" spans="1:8" x14ac:dyDescent="0.25">
      <c r="A238" s="1" t="s">
        <v>4</v>
      </c>
      <c r="B238" s="2" t="s">
        <v>4</v>
      </c>
      <c r="C238" s="2" t="s">
        <v>4</v>
      </c>
      <c r="D238" s="96" t="s">
        <v>1449</v>
      </c>
      <c r="E238" s="388" t="s">
        <v>4</v>
      </c>
      <c r="F238" s="388"/>
      <c r="G238" s="97">
        <v>33.728000000000002</v>
      </c>
      <c r="H238" s="79" t="s">
        <v>4</v>
      </c>
    </row>
    <row r="239" spans="1:8" x14ac:dyDescent="0.25">
      <c r="A239" s="1" t="s">
        <v>429</v>
      </c>
      <c r="B239" s="2" t="s">
        <v>89</v>
      </c>
      <c r="C239" s="2" t="s">
        <v>430</v>
      </c>
      <c r="D239" s="280" t="s">
        <v>431</v>
      </c>
      <c r="E239" s="280"/>
      <c r="F239" s="2" t="s">
        <v>249</v>
      </c>
      <c r="G239" s="37">
        <v>45.365200000000002</v>
      </c>
      <c r="H239" s="38">
        <v>0</v>
      </c>
    </row>
    <row r="240" spans="1:8" x14ac:dyDescent="0.25">
      <c r="A240" s="85"/>
      <c r="D240" s="96" t="s">
        <v>1448</v>
      </c>
      <c r="E240" s="388" t="s">
        <v>1358</v>
      </c>
      <c r="F240" s="388"/>
      <c r="G240" s="97">
        <v>5.72</v>
      </c>
      <c r="H240" s="98"/>
    </row>
    <row r="241" spans="1:8" x14ac:dyDescent="0.25">
      <c r="A241" s="1" t="s">
        <v>4</v>
      </c>
      <c r="B241" s="2" t="s">
        <v>4</v>
      </c>
      <c r="C241" s="2" t="s">
        <v>4</v>
      </c>
      <c r="D241" s="96" t="s">
        <v>1449</v>
      </c>
      <c r="E241" s="388" t="s">
        <v>4</v>
      </c>
      <c r="F241" s="388"/>
      <c r="G241" s="97">
        <v>33.728000000000002</v>
      </c>
      <c r="H241" s="79" t="s">
        <v>4</v>
      </c>
    </row>
    <row r="242" spans="1:8" x14ac:dyDescent="0.25">
      <c r="A242" s="1" t="s">
        <v>4</v>
      </c>
      <c r="B242" s="2" t="s">
        <v>4</v>
      </c>
      <c r="C242" s="2" t="s">
        <v>4</v>
      </c>
      <c r="D242" s="96" t="s">
        <v>1453</v>
      </c>
      <c r="E242" s="388" t="s">
        <v>4</v>
      </c>
      <c r="F242" s="388"/>
      <c r="G242" s="97">
        <v>5.9172000000000002</v>
      </c>
      <c r="H242" s="79" t="s">
        <v>4</v>
      </c>
    </row>
    <row r="243" spans="1:8" x14ac:dyDescent="0.25">
      <c r="A243" s="1" t="s">
        <v>432</v>
      </c>
      <c r="B243" s="2" t="s">
        <v>89</v>
      </c>
      <c r="C243" s="2" t="s">
        <v>433</v>
      </c>
      <c r="D243" s="280" t="s">
        <v>434</v>
      </c>
      <c r="E243" s="280"/>
      <c r="F243" s="2" t="s">
        <v>249</v>
      </c>
      <c r="G243" s="37">
        <v>39.448</v>
      </c>
      <c r="H243" s="38">
        <v>0</v>
      </c>
    </row>
    <row r="244" spans="1:8" x14ac:dyDescent="0.25">
      <c r="A244" s="85"/>
      <c r="D244" s="96" t="s">
        <v>1448</v>
      </c>
      <c r="E244" s="388" t="s">
        <v>1358</v>
      </c>
      <c r="F244" s="388"/>
      <c r="G244" s="97">
        <v>5.72</v>
      </c>
      <c r="H244" s="98"/>
    </row>
    <row r="245" spans="1:8" x14ac:dyDescent="0.25">
      <c r="A245" s="1" t="s">
        <v>4</v>
      </c>
      <c r="B245" s="2" t="s">
        <v>4</v>
      </c>
      <c r="C245" s="2" t="s">
        <v>4</v>
      </c>
      <c r="D245" s="96" t="s">
        <v>1449</v>
      </c>
      <c r="E245" s="388" t="s">
        <v>4</v>
      </c>
      <c r="F245" s="388"/>
      <c r="G245" s="97">
        <v>33.728000000000002</v>
      </c>
      <c r="H245" s="79" t="s">
        <v>4</v>
      </c>
    </row>
    <row r="246" spans="1:8" x14ac:dyDescent="0.25">
      <c r="A246" s="1" t="s">
        <v>435</v>
      </c>
      <c r="B246" s="2" t="s">
        <v>89</v>
      </c>
      <c r="C246" s="2" t="s">
        <v>436</v>
      </c>
      <c r="D246" s="280" t="s">
        <v>437</v>
      </c>
      <c r="E246" s="280"/>
      <c r="F246" s="2" t="s">
        <v>333</v>
      </c>
      <c r="G246" s="37">
        <v>31.23</v>
      </c>
      <c r="H246" s="38">
        <v>0</v>
      </c>
    </row>
    <row r="247" spans="1:8" x14ac:dyDescent="0.25">
      <c r="A247" s="85"/>
      <c r="D247" s="96" t="s">
        <v>1454</v>
      </c>
      <c r="E247" s="388" t="s">
        <v>1358</v>
      </c>
      <c r="F247" s="388"/>
      <c r="G247" s="97">
        <v>5.2</v>
      </c>
      <c r="H247" s="98"/>
    </row>
    <row r="248" spans="1:8" x14ac:dyDescent="0.25">
      <c r="A248" s="1" t="s">
        <v>4</v>
      </c>
      <c r="B248" s="2" t="s">
        <v>4</v>
      </c>
      <c r="C248" s="2" t="s">
        <v>4</v>
      </c>
      <c r="D248" s="96" t="s">
        <v>1455</v>
      </c>
      <c r="E248" s="388" t="s">
        <v>4</v>
      </c>
      <c r="F248" s="388"/>
      <c r="G248" s="97">
        <v>22.73</v>
      </c>
      <c r="H248" s="79" t="s">
        <v>4</v>
      </c>
    </row>
    <row r="249" spans="1:8" x14ac:dyDescent="0.25">
      <c r="A249" s="1" t="s">
        <v>4</v>
      </c>
      <c r="B249" s="2" t="s">
        <v>4</v>
      </c>
      <c r="C249" s="2" t="s">
        <v>4</v>
      </c>
      <c r="D249" s="96" t="s">
        <v>1456</v>
      </c>
      <c r="E249" s="388" t="s">
        <v>4</v>
      </c>
      <c r="F249" s="388"/>
      <c r="G249" s="97">
        <v>3.3</v>
      </c>
      <c r="H249" s="79" t="s">
        <v>4</v>
      </c>
    </row>
    <row r="250" spans="1:8" x14ac:dyDescent="0.25">
      <c r="A250" s="1" t="s">
        <v>438</v>
      </c>
      <c r="B250" s="2" t="s">
        <v>89</v>
      </c>
      <c r="C250" s="2" t="s">
        <v>439</v>
      </c>
      <c r="D250" s="280" t="s">
        <v>440</v>
      </c>
      <c r="E250" s="280"/>
      <c r="F250" s="2" t="s">
        <v>249</v>
      </c>
      <c r="G250" s="37">
        <v>52.307499999999997</v>
      </c>
      <c r="H250" s="38">
        <v>0</v>
      </c>
    </row>
    <row r="251" spans="1:8" x14ac:dyDescent="0.25">
      <c r="A251" s="85"/>
      <c r="D251" s="96" t="s">
        <v>1450</v>
      </c>
      <c r="E251" s="388" t="s">
        <v>1361</v>
      </c>
      <c r="F251" s="388"/>
      <c r="G251" s="97">
        <v>52.307499999999997</v>
      </c>
      <c r="H251" s="98"/>
    </row>
    <row r="252" spans="1:8" x14ac:dyDescent="0.25">
      <c r="A252" s="1" t="s">
        <v>441</v>
      </c>
      <c r="B252" s="2" t="s">
        <v>89</v>
      </c>
      <c r="C252" s="2" t="s">
        <v>442</v>
      </c>
      <c r="D252" s="280" t="s">
        <v>443</v>
      </c>
      <c r="E252" s="280"/>
      <c r="F252" s="2" t="s">
        <v>329</v>
      </c>
      <c r="G252" s="37">
        <v>261.60000000000002</v>
      </c>
      <c r="H252" s="38">
        <v>0</v>
      </c>
    </row>
    <row r="253" spans="1:8" x14ac:dyDescent="0.25">
      <c r="A253" s="85"/>
      <c r="D253" s="96" t="s">
        <v>1457</v>
      </c>
      <c r="E253" s="388" t="s">
        <v>1361</v>
      </c>
      <c r="F253" s="388"/>
      <c r="G253" s="97">
        <v>217.94792000000001</v>
      </c>
      <c r="H253" s="98"/>
    </row>
    <row r="254" spans="1:8" x14ac:dyDescent="0.25">
      <c r="A254" s="1" t="s">
        <v>4</v>
      </c>
      <c r="B254" s="2" t="s">
        <v>4</v>
      </c>
      <c r="C254" s="2" t="s">
        <v>4</v>
      </c>
      <c r="D254" s="96" t="s">
        <v>1458</v>
      </c>
      <c r="E254" s="388" t="s">
        <v>1459</v>
      </c>
      <c r="F254" s="388"/>
      <c r="G254" s="97">
        <v>5.2080000000000001E-2</v>
      </c>
      <c r="H254" s="79" t="s">
        <v>4</v>
      </c>
    </row>
    <row r="255" spans="1:8" x14ac:dyDescent="0.25">
      <c r="A255" s="1" t="s">
        <v>4</v>
      </c>
      <c r="B255" s="2" t="s">
        <v>4</v>
      </c>
      <c r="C255" s="2" t="s">
        <v>4</v>
      </c>
      <c r="D255" s="96" t="s">
        <v>1460</v>
      </c>
      <c r="E255" s="388" t="s">
        <v>4</v>
      </c>
      <c r="F255" s="388"/>
      <c r="G255" s="97">
        <v>43.6</v>
      </c>
      <c r="H255" s="79" t="s">
        <v>4</v>
      </c>
    </row>
    <row r="256" spans="1:8" x14ac:dyDescent="0.25">
      <c r="A256" s="1" t="s">
        <v>141</v>
      </c>
      <c r="B256" s="2" t="s">
        <v>89</v>
      </c>
      <c r="C256" s="2" t="s">
        <v>444</v>
      </c>
      <c r="D256" s="280" t="s">
        <v>445</v>
      </c>
      <c r="E256" s="280"/>
      <c r="F256" s="2" t="s">
        <v>333</v>
      </c>
      <c r="G256" s="37">
        <v>22.85</v>
      </c>
      <c r="H256" s="38">
        <v>0</v>
      </c>
    </row>
    <row r="257" spans="1:8" x14ac:dyDescent="0.25">
      <c r="A257" s="85"/>
      <c r="D257" s="96" t="s">
        <v>1461</v>
      </c>
      <c r="E257" s="388" t="s">
        <v>4</v>
      </c>
      <c r="F257" s="388"/>
      <c r="G257" s="97">
        <v>22.85</v>
      </c>
      <c r="H257" s="98"/>
    </row>
    <row r="258" spans="1:8" x14ac:dyDescent="0.25">
      <c r="A258" s="1" t="s">
        <v>446</v>
      </c>
      <c r="B258" s="2" t="s">
        <v>89</v>
      </c>
      <c r="C258" s="2" t="s">
        <v>447</v>
      </c>
      <c r="D258" s="280" t="s">
        <v>448</v>
      </c>
      <c r="E258" s="280"/>
      <c r="F258" s="2" t="s">
        <v>249</v>
      </c>
      <c r="G258" s="37">
        <v>19.475000000000001</v>
      </c>
      <c r="H258" s="38">
        <v>0</v>
      </c>
    </row>
    <row r="259" spans="1:8" x14ac:dyDescent="0.25">
      <c r="A259" s="85"/>
      <c r="D259" s="96" t="s">
        <v>1462</v>
      </c>
      <c r="E259" s="388" t="s">
        <v>4</v>
      </c>
      <c r="F259" s="388"/>
      <c r="G259" s="97">
        <v>19.475000000000001</v>
      </c>
      <c r="H259" s="98"/>
    </row>
    <row r="260" spans="1:8" x14ac:dyDescent="0.25">
      <c r="A260" s="1" t="s">
        <v>449</v>
      </c>
      <c r="B260" s="2" t="s">
        <v>89</v>
      </c>
      <c r="C260" s="2" t="s">
        <v>450</v>
      </c>
      <c r="D260" s="280" t="s">
        <v>451</v>
      </c>
      <c r="E260" s="280"/>
      <c r="F260" s="2" t="s">
        <v>249</v>
      </c>
      <c r="G260" s="37">
        <v>64.989999999999995</v>
      </c>
      <c r="H260" s="38">
        <v>0</v>
      </c>
    </row>
    <row r="261" spans="1:8" x14ac:dyDescent="0.25">
      <c r="A261" s="85"/>
      <c r="D261" s="96" t="s">
        <v>1463</v>
      </c>
      <c r="E261" s="388" t="s">
        <v>1464</v>
      </c>
      <c r="F261" s="388"/>
      <c r="G261" s="97">
        <v>12</v>
      </c>
      <c r="H261" s="98"/>
    </row>
    <row r="262" spans="1:8" x14ac:dyDescent="0.25">
      <c r="A262" s="1" t="s">
        <v>4</v>
      </c>
      <c r="B262" s="2" t="s">
        <v>4</v>
      </c>
      <c r="C262" s="2" t="s">
        <v>4</v>
      </c>
      <c r="D262" s="96" t="s">
        <v>1465</v>
      </c>
      <c r="E262" s="388" t="s">
        <v>1464</v>
      </c>
      <c r="F262" s="388"/>
      <c r="G262" s="97">
        <v>52.99</v>
      </c>
      <c r="H262" s="79" t="s">
        <v>4</v>
      </c>
    </row>
    <row r="263" spans="1:8" x14ac:dyDescent="0.25">
      <c r="A263" s="1" t="s">
        <v>454</v>
      </c>
      <c r="B263" s="2" t="s">
        <v>89</v>
      </c>
      <c r="C263" s="2" t="s">
        <v>455</v>
      </c>
      <c r="D263" s="280" t="s">
        <v>456</v>
      </c>
      <c r="E263" s="280"/>
      <c r="F263" s="2" t="s">
        <v>249</v>
      </c>
      <c r="G263" s="37">
        <v>12</v>
      </c>
      <c r="H263" s="38">
        <v>0</v>
      </c>
    </row>
    <row r="264" spans="1:8" x14ac:dyDescent="0.25">
      <c r="A264" s="85"/>
      <c r="D264" s="96" t="s">
        <v>1463</v>
      </c>
      <c r="E264" s="388" t="s">
        <v>1466</v>
      </c>
      <c r="F264" s="388"/>
      <c r="G264" s="97">
        <v>12</v>
      </c>
      <c r="H264" s="98"/>
    </row>
    <row r="265" spans="1:8" x14ac:dyDescent="0.25">
      <c r="A265" s="1" t="s">
        <v>457</v>
      </c>
      <c r="B265" s="2" t="s">
        <v>89</v>
      </c>
      <c r="C265" s="2" t="s">
        <v>458</v>
      </c>
      <c r="D265" s="280" t="s">
        <v>459</v>
      </c>
      <c r="E265" s="280"/>
      <c r="F265" s="2" t="s">
        <v>249</v>
      </c>
      <c r="G265" s="37">
        <v>87.284999999999997</v>
      </c>
      <c r="H265" s="38">
        <v>0</v>
      </c>
    </row>
    <row r="266" spans="1:8" x14ac:dyDescent="0.25">
      <c r="A266" s="85"/>
      <c r="D266" s="96" t="s">
        <v>1467</v>
      </c>
      <c r="E266" s="388" t="s">
        <v>1468</v>
      </c>
      <c r="F266" s="388"/>
      <c r="G266" s="97">
        <v>63.836500000000001</v>
      </c>
      <c r="H266" s="98"/>
    </row>
    <row r="267" spans="1:8" x14ac:dyDescent="0.25">
      <c r="A267" s="1" t="s">
        <v>4</v>
      </c>
      <c r="B267" s="2" t="s">
        <v>4</v>
      </c>
      <c r="C267" s="2" t="s">
        <v>4</v>
      </c>
      <c r="D267" s="96" t="s">
        <v>1469</v>
      </c>
      <c r="E267" s="388" t="s">
        <v>1470</v>
      </c>
      <c r="F267" s="388"/>
      <c r="G267" s="97">
        <v>23.448499999999999</v>
      </c>
      <c r="H267" s="79" t="s">
        <v>4</v>
      </c>
    </row>
    <row r="268" spans="1:8" x14ac:dyDescent="0.25">
      <c r="A268" s="1" t="s">
        <v>460</v>
      </c>
      <c r="B268" s="2" t="s">
        <v>89</v>
      </c>
      <c r="C268" s="2" t="s">
        <v>461</v>
      </c>
      <c r="D268" s="280" t="s">
        <v>462</v>
      </c>
      <c r="E268" s="280"/>
      <c r="F268" s="2" t="s">
        <v>333</v>
      </c>
      <c r="G268" s="37">
        <v>115.55</v>
      </c>
      <c r="H268" s="38">
        <v>0</v>
      </c>
    </row>
    <row r="269" spans="1:8" x14ac:dyDescent="0.25">
      <c r="A269" s="85"/>
      <c r="D269" s="96" t="s">
        <v>1471</v>
      </c>
      <c r="E269" s="388" t="s">
        <v>4</v>
      </c>
      <c r="F269" s="388"/>
      <c r="G269" s="97">
        <v>36.26</v>
      </c>
      <c r="H269" s="98"/>
    </row>
    <row r="270" spans="1:8" x14ac:dyDescent="0.25">
      <c r="A270" s="1" t="s">
        <v>4</v>
      </c>
      <c r="B270" s="2" t="s">
        <v>4</v>
      </c>
      <c r="C270" s="2" t="s">
        <v>4</v>
      </c>
      <c r="D270" s="96" t="s">
        <v>1472</v>
      </c>
      <c r="E270" s="388" t="s">
        <v>4</v>
      </c>
      <c r="F270" s="388"/>
      <c r="G270" s="97">
        <v>4.84</v>
      </c>
      <c r="H270" s="79" t="s">
        <v>4</v>
      </c>
    </row>
    <row r="271" spans="1:8" x14ac:dyDescent="0.25">
      <c r="A271" s="1" t="s">
        <v>4</v>
      </c>
      <c r="B271" s="2" t="s">
        <v>4</v>
      </c>
      <c r="C271" s="2" t="s">
        <v>4</v>
      </c>
      <c r="D271" s="96" t="s">
        <v>1473</v>
      </c>
      <c r="E271" s="388" t="s">
        <v>4</v>
      </c>
      <c r="F271" s="388"/>
      <c r="G271" s="97">
        <v>4.6399999999999997</v>
      </c>
      <c r="H271" s="79" t="s">
        <v>4</v>
      </c>
    </row>
    <row r="272" spans="1:8" x14ac:dyDescent="0.25">
      <c r="A272" s="1" t="s">
        <v>4</v>
      </c>
      <c r="B272" s="2" t="s">
        <v>4</v>
      </c>
      <c r="C272" s="2" t="s">
        <v>4</v>
      </c>
      <c r="D272" s="96" t="s">
        <v>1474</v>
      </c>
      <c r="E272" s="388" t="s">
        <v>4</v>
      </c>
      <c r="F272" s="388"/>
      <c r="G272" s="97">
        <v>20.3</v>
      </c>
      <c r="H272" s="79" t="s">
        <v>4</v>
      </c>
    </row>
    <row r="273" spans="1:8" x14ac:dyDescent="0.25">
      <c r="A273" s="1" t="s">
        <v>4</v>
      </c>
      <c r="B273" s="2" t="s">
        <v>4</v>
      </c>
      <c r="C273" s="2" t="s">
        <v>4</v>
      </c>
      <c r="D273" s="96" t="s">
        <v>1475</v>
      </c>
      <c r="E273" s="388" t="s">
        <v>4</v>
      </c>
      <c r="F273" s="388"/>
      <c r="G273" s="97">
        <v>3.98</v>
      </c>
      <c r="H273" s="79" t="s">
        <v>4</v>
      </c>
    </row>
    <row r="274" spans="1:8" x14ac:dyDescent="0.25">
      <c r="A274" s="1" t="s">
        <v>4</v>
      </c>
      <c r="B274" s="2" t="s">
        <v>4</v>
      </c>
      <c r="C274" s="2" t="s">
        <v>4</v>
      </c>
      <c r="D274" s="96" t="s">
        <v>1476</v>
      </c>
      <c r="E274" s="388" t="s">
        <v>4</v>
      </c>
      <c r="F274" s="388"/>
      <c r="G274" s="97">
        <v>3.5</v>
      </c>
      <c r="H274" s="79" t="s">
        <v>4</v>
      </c>
    </row>
    <row r="275" spans="1:8" x14ac:dyDescent="0.25">
      <c r="A275" s="1" t="s">
        <v>4</v>
      </c>
      <c r="B275" s="2" t="s">
        <v>4</v>
      </c>
      <c r="C275" s="2" t="s">
        <v>4</v>
      </c>
      <c r="D275" s="96" t="s">
        <v>1477</v>
      </c>
      <c r="E275" s="388" t="s">
        <v>4</v>
      </c>
      <c r="F275" s="388"/>
      <c r="G275" s="97">
        <v>5.3</v>
      </c>
      <c r="H275" s="79" t="s">
        <v>4</v>
      </c>
    </row>
    <row r="276" spans="1:8" x14ac:dyDescent="0.25">
      <c r="A276" s="1" t="s">
        <v>4</v>
      </c>
      <c r="B276" s="2" t="s">
        <v>4</v>
      </c>
      <c r="C276" s="2" t="s">
        <v>4</v>
      </c>
      <c r="D276" s="96" t="s">
        <v>1478</v>
      </c>
      <c r="E276" s="388" t="s">
        <v>4</v>
      </c>
      <c r="F276" s="388"/>
      <c r="G276" s="97">
        <v>1.7</v>
      </c>
      <c r="H276" s="79" t="s">
        <v>4</v>
      </c>
    </row>
    <row r="277" spans="1:8" x14ac:dyDescent="0.25">
      <c r="A277" s="1" t="s">
        <v>4</v>
      </c>
      <c r="B277" s="2" t="s">
        <v>4</v>
      </c>
      <c r="C277" s="2" t="s">
        <v>4</v>
      </c>
      <c r="D277" s="96" t="s">
        <v>1479</v>
      </c>
      <c r="E277" s="388" t="s">
        <v>4</v>
      </c>
      <c r="F277" s="388"/>
      <c r="G277" s="97">
        <v>4.9000000000000004</v>
      </c>
      <c r="H277" s="79" t="s">
        <v>4</v>
      </c>
    </row>
    <row r="278" spans="1:8" x14ac:dyDescent="0.25">
      <c r="A278" s="1" t="s">
        <v>4</v>
      </c>
      <c r="B278" s="2" t="s">
        <v>4</v>
      </c>
      <c r="C278" s="2" t="s">
        <v>4</v>
      </c>
      <c r="D278" s="96" t="s">
        <v>1480</v>
      </c>
      <c r="E278" s="388" t="s">
        <v>4</v>
      </c>
      <c r="F278" s="388"/>
      <c r="G278" s="97">
        <v>1.55</v>
      </c>
      <c r="H278" s="79" t="s">
        <v>4</v>
      </c>
    </row>
    <row r="279" spans="1:8" x14ac:dyDescent="0.25">
      <c r="A279" s="1" t="s">
        <v>4</v>
      </c>
      <c r="B279" s="2" t="s">
        <v>4</v>
      </c>
      <c r="C279" s="2" t="s">
        <v>4</v>
      </c>
      <c r="D279" s="96" t="s">
        <v>1481</v>
      </c>
      <c r="E279" s="388" t="s">
        <v>4</v>
      </c>
      <c r="F279" s="388"/>
      <c r="G279" s="97">
        <v>7.85</v>
      </c>
      <c r="H279" s="79" t="s">
        <v>4</v>
      </c>
    </row>
    <row r="280" spans="1:8" x14ac:dyDescent="0.25">
      <c r="A280" s="1" t="s">
        <v>4</v>
      </c>
      <c r="B280" s="2" t="s">
        <v>4</v>
      </c>
      <c r="C280" s="2" t="s">
        <v>4</v>
      </c>
      <c r="D280" s="96" t="s">
        <v>1482</v>
      </c>
      <c r="E280" s="388" t="s">
        <v>4</v>
      </c>
      <c r="F280" s="388"/>
      <c r="G280" s="97">
        <v>6.73</v>
      </c>
      <c r="H280" s="79" t="s">
        <v>4</v>
      </c>
    </row>
    <row r="281" spans="1:8" x14ac:dyDescent="0.25">
      <c r="A281" s="1" t="s">
        <v>4</v>
      </c>
      <c r="B281" s="2" t="s">
        <v>4</v>
      </c>
      <c r="C281" s="2" t="s">
        <v>4</v>
      </c>
      <c r="D281" s="96" t="s">
        <v>1483</v>
      </c>
      <c r="E281" s="388" t="s">
        <v>4</v>
      </c>
      <c r="F281" s="388"/>
      <c r="G281" s="97">
        <v>4.9000000000000004</v>
      </c>
      <c r="H281" s="79" t="s">
        <v>4</v>
      </c>
    </row>
    <row r="282" spans="1:8" x14ac:dyDescent="0.25">
      <c r="A282" s="1" t="s">
        <v>4</v>
      </c>
      <c r="B282" s="2" t="s">
        <v>4</v>
      </c>
      <c r="C282" s="2" t="s">
        <v>4</v>
      </c>
      <c r="D282" s="96" t="s">
        <v>1484</v>
      </c>
      <c r="E282" s="388" t="s">
        <v>4</v>
      </c>
      <c r="F282" s="388"/>
      <c r="G282" s="97">
        <v>4.4000000000000004</v>
      </c>
      <c r="H282" s="79" t="s">
        <v>4</v>
      </c>
    </row>
    <row r="283" spans="1:8" x14ac:dyDescent="0.25">
      <c r="A283" s="1" t="s">
        <v>4</v>
      </c>
      <c r="B283" s="2" t="s">
        <v>4</v>
      </c>
      <c r="C283" s="2" t="s">
        <v>4</v>
      </c>
      <c r="D283" s="96" t="s">
        <v>1485</v>
      </c>
      <c r="E283" s="388" t="s">
        <v>4</v>
      </c>
      <c r="F283" s="388"/>
      <c r="G283" s="97">
        <v>4.7</v>
      </c>
      <c r="H283" s="79" t="s">
        <v>4</v>
      </c>
    </row>
    <row r="284" spans="1:8" x14ac:dyDescent="0.25">
      <c r="A284" s="1" t="s">
        <v>463</v>
      </c>
      <c r="B284" s="2" t="s">
        <v>89</v>
      </c>
      <c r="C284" s="2" t="s">
        <v>464</v>
      </c>
      <c r="D284" s="280" t="s">
        <v>465</v>
      </c>
      <c r="E284" s="280"/>
      <c r="F284" s="2" t="s">
        <v>249</v>
      </c>
      <c r="G284" s="37">
        <v>148.3904</v>
      </c>
      <c r="H284" s="38">
        <v>0</v>
      </c>
    </row>
    <row r="285" spans="1:8" x14ac:dyDescent="0.25">
      <c r="A285" s="85"/>
      <c r="D285" s="96" t="s">
        <v>1486</v>
      </c>
      <c r="E285" s="388" t="s">
        <v>4</v>
      </c>
      <c r="F285" s="388"/>
      <c r="G285" s="97">
        <v>134.4212</v>
      </c>
      <c r="H285" s="98"/>
    </row>
    <row r="286" spans="1:8" x14ac:dyDescent="0.25">
      <c r="A286" s="1" t="s">
        <v>4</v>
      </c>
      <c r="B286" s="2" t="s">
        <v>4</v>
      </c>
      <c r="C286" s="2" t="s">
        <v>4</v>
      </c>
      <c r="D286" s="96" t="s">
        <v>1487</v>
      </c>
      <c r="E286" s="388" t="s">
        <v>4</v>
      </c>
      <c r="F286" s="388"/>
      <c r="G286" s="97">
        <v>13.969200000000001</v>
      </c>
      <c r="H286" s="79" t="s">
        <v>4</v>
      </c>
    </row>
    <row r="287" spans="1:8" x14ac:dyDescent="0.25">
      <c r="A287" s="1" t="s">
        <v>466</v>
      </c>
      <c r="B287" s="2" t="s">
        <v>89</v>
      </c>
      <c r="C287" s="2" t="s">
        <v>467</v>
      </c>
      <c r="D287" s="280" t="s">
        <v>468</v>
      </c>
      <c r="E287" s="280"/>
      <c r="F287" s="2" t="s">
        <v>333</v>
      </c>
      <c r="G287" s="37">
        <v>44.405000000000001</v>
      </c>
      <c r="H287" s="38">
        <v>0</v>
      </c>
    </row>
    <row r="288" spans="1:8" x14ac:dyDescent="0.25">
      <c r="A288" s="85"/>
      <c r="D288" s="96" t="s">
        <v>1488</v>
      </c>
      <c r="E288" s="388" t="s">
        <v>4</v>
      </c>
      <c r="F288" s="388"/>
      <c r="G288" s="97">
        <v>44.405000000000001</v>
      </c>
      <c r="H288" s="98"/>
    </row>
    <row r="289" spans="1:8" x14ac:dyDescent="0.25">
      <c r="A289" s="1" t="s">
        <v>470</v>
      </c>
      <c r="B289" s="2" t="s">
        <v>89</v>
      </c>
      <c r="C289" s="2" t="s">
        <v>471</v>
      </c>
      <c r="D289" s="280" t="s">
        <v>472</v>
      </c>
      <c r="E289" s="280"/>
      <c r="F289" s="2" t="s">
        <v>249</v>
      </c>
      <c r="G289" s="37">
        <v>42.310549999999999</v>
      </c>
      <c r="H289" s="38">
        <v>0</v>
      </c>
    </row>
    <row r="290" spans="1:8" x14ac:dyDescent="0.25">
      <c r="A290" s="85"/>
      <c r="D290" s="96" t="s">
        <v>1489</v>
      </c>
      <c r="E290" s="388" t="s">
        <v>4</v>
      </c>
      <c r="F290" s="388"/>
      <c r="G290" s="97">
        <v>12.396000000000001</v>
      </c>
      <c r="H290" s="98"/>
    </row>
    <row r="291" spans="1:8" x14ac:dyDescent="0.25">
      <c r="A291" s="1" t="s">
        <v>4</v>
      </c>
      <c r="B291" s="2" t="s">
        <v>4</v>
      </c>
      <c r="C291" s="2" t="s">
        <v>4</v>
      </c>
      <c r="D291" s="96" t="s">
        <v>1490</v>
      </c>
      <c r="E291" s="388" t="s">
        <v>4</v>
      </c>
      <c r="F291" s="388"/>
      <c r="G291" s="97">
        <v>11.24</v>
      </c>
      <c r="H291" s="79" t="s">
        <v>4</v>
      </c>
    </row>
    <row r="292" spans="1:8" x14ac:dyDescent="0.25">
      <c r="A292" s="1" t="s">
        <v>4</v>
      </c>
      <c r="B292" s="2" t="s">
        <v>4</v>
      </c>
      <c r="C292" s="2" t="s">
        <v>4</v>
      </c>
      <c r="D292" s="96" t="s">
        <v>1491</v>
      </c>
      <c r="E292" s="388" t="s">
        <v>4</v>
      </c>
      <c r="F292" s="388"/>
      <c r="G292" s="97">
        <v>13.39855</v>
      </c>
      <c r="H292" s="79" t="s">
        <v>4</v>
      </c>
    </row>
    <row r="293" spans="1:8" x14ac:dyDescent="0.25">
      <c r="A293" s="1" t="s">
        <v>4</v>
      </c>
      <c r="B293" s="2" t="s">
        <v>4</v>
      </c>
      <c r="C293" s="2" t="s">
        <v>4</v>
      </c>
      <c r="D293" s="96" t="s">
        <v>1492</v>
      </c>
      <c r="E293" s="388" t="s">
        <v>4</v>
      </c>
      <c r="F293" s="388"/>
      <c r="G293" s="97">
        <v>5.2759999999999998</v>
      </c>
      <c r="H293" s="79" t="s">
        <v>4</v>
      </c>
    </row>
    <row r="294" spans="1:8" x14ac:dyDescent="0.25">
      <c r="A294" s="1" t="s">
        <v>473</v>
      </c>
      <c r="B294" s="2" t="s">
        <v>89</v>
      </c>
      <c r="C294" s="2" t="s">
        <v>474</v>
      </c>
      <c r="D294" s="280" t="s">
        <v>475</v>
      </c>
      <c r="E294" s="280"/>
      <c r="F294" s="2" t="s">
        <v>249</v>
      </c>
      <c r="G294" s="37">
        <v>160.57814999999999</v>
      </c>
      <c r="H294" s="38">
        <v>0</v>
      </c>
    </row>
    <row r="295" spans="1:8" x14ac:dyDescent="0.25">
      <c r="A295" s="85"/>
      <c r="D295" s="96" t="s">
        <v>1493</v>
      </c>
      <c r="E295" s="388" t="s">
        <v>4</v>
      </c>
      <c r="F295" s="388"/>
      <c r="G295" s="97">
        <v>72.93535</v>
      </c>
      <c r="H295" s="98"/>
    </row>
    <row r="296" spans="1:8" x14ac:dyDescent="0.25">
      <c r="A296" s="1" t="s">
        <v>4</v>
      </c>
      <c r="B296" s="2" t="s">
        <v>4</v>
      </c>
      <c r="C296" s="2" t="s">
        <v>4</v>
      </c>
      <c r="D296" s="96" t="s">
        <v>1494</v>
      </c>
      <c r="E296" s="388" t="s">
        <v>4</v>
      </c>
      <c r="F296" s="388"/>
      <c r="G296" s="97">
        <v>37.555999999999997</v>
      </c>
      <c r="H296" s="79" t="s">
        <v>4</v>
      </c>
    </row>
    <row r="297" spans="1:8" x14ac:dyDescent="0.25">
      <c r="A297" s="1" t="s">
        <v>4</v>
      </c>
      <c r="B297" s="2" t="s">
        <v>4</v>
      </c>
      <c r="C297" s="2" t="s">
        <v>4</v>
      </c>
      <c r="D297" s="96" t="s">
        <v>1495</v>
      </c>
      <c r="E297" s="388" t="s">
        <v>4</v>
      </c>
      <c r="F297" s="388"/>
      <c r="G297" s="97">
        <v>50.086799999999997</v>
      </c>
      <c r="H297" s="79" t="s">
        <v>4</v>
      </c>
    </row>
    <row r="298" spans="1:8" x14ac:dyDescent="0.25">
      <c r="A298" s="1" t="s">
        <v>165</v>
      </c>
      <c r="B298" s="2" t="s">
        <v>89</v>
      </c>
      <c r="C298" s="2" t="s">
        <v>476</v>
      </c>
      <c r="D298" s="280" t="s">
        <v>477</v>
      </c>
      <c r="E298" s="280"/>
      <c r="F298" s="2" t="s">
        <v>249</v>
      </c>
      <c r="G298" s="37">
        <v>8.6351999999999993</v>
      </c>
      <c r="H298" s="38">
        <v>0</v>
      </c>
    </row>
    <row r="299" spans="1:8" x14ac:dyDescent="0.25">
      <c r="A299" s="85"/>
      <c r="D299" s="96" t="s">
        <v>1496</v>
      </c>
      <c r="E299" s="388" t="s">
        <v>4</v>
      </c>
      <c r="F299" s="388"/>
      <c r="G299" s="97">
        <v>8.6351999999999993</v>
      </c>
      <c r="H299" s="98"/>
    </row>
    <row r="300" spans="1:8" x14ac:dyDescent="0.25">
      <c r="A300" s="1" t="s">
        <v>478</v>
      </c>
      <c r="B300" s="2" t="s">
        <v>89</v>
      </c>
      <c r="C300" s="2" t="s">
        <v>479</v>
      </c>
      <c r="D300" s="280" t="s">
        <v>480</v>
      </c>
      <c r="E300" s="280"/>
      <c r="F300" s="2" t="s">
        <v>249</v>
      </c>
      <c r="G300" s="37">
        <v>27.386700000000001</v>
      </c>
      <c r="H300" s="38">
        <v>0</v>
      </c>
    </row>
    <row r="301" spans="1:8" x14ac:dyDescent="0.25">
      <c r="A301" s="85"/>
      <c r="D301" s="96" t="s">
        <v>1497</v>
      </c>
      <c r="E301" s="388" t="s">
        <v>4</v>
      </c>
      <c r="F301" s="388"/>
      <c r="G301" s="97">
        <v>8.5909999999999993</v>
      </c>
      <c r="H301" s="98"/>
    </row>
    <row r="302" spans="1:8" x14ac:dyDescent="0.25">
      <c r="A302" s="1" t="s">
        <v>4</v>
      </c>
      <c r="B302" s="2" t="s">
        <v>4</v>
      </c>
      <c r="C302" s="2" t="s">
        <v>4</v>
      </c>
      <c r="D302" s="96" t="s">
        <v>1498</v>
      </c>
      <c r="E302" s="388" t="s">
        <v>4</v>
      </c>
      <c r="F302" s="388"/>
      <c r="G302" s="97">
        <v>18.7957</v>
      </c>
      <c r="H302" s="79" t="s">
        <v>4</v>
      </c>
    </row>
    <row r="303" spans="1:8" x14ac:dyDescent="0.25">
      <c r="A303" s="1" t="s">
        <v>481</v>
      </c>
      <c r="B303" s="2" t="s">
        <v>89</v>
      </c>
      <c r="C303" s="2" t="s">
        <v>482</v>
      </c>
      <c r="D303" s="280" t="s">
        <v>483</v>
      </c>
      <c r="E303" s="280"/>
      <c r="F303" s="2" t="s">
        <v>249</v>
      </c>
      <c r="G303" s="37">
        <v>60.866610000000001</v>
      </c>
      <c r="H303" s="38">
        <v>0</v>
      </c>
    </row>
    <row r="304" spans="1:8" x14ac:dyDescent="0.25">
      <c r="A304" s="85"/>
      <c r="D304" s="96" t="s">
        <v>1499</v>
      </c>
      <c r="E304" s="388" t="s">
        <v>4</v>
      </c>
      <c r="F304" s="388"/>
      <c r="G304" s="97">
        <v>60.866610000000001</v>
      </c>
      <c r="H304" s="98"/>
    </row>
    <row r="305" spans="1:8" x14ac:dyDescent="0.25">
      <c r="A305" s="1" t="s">
        <v>484</v>
      </c>
      <c r="B305" s="2" t="s">
        <v>89</v>
      </c>
      <c r="C305" s="2" t="s">
        <v>485</v>
      </c>
      <c r="D305" s="280" t="s">
        <v>486</v>
      </c>
      <c r="E305" s="280"/>
      <c r="F305" s="2" t="s">
        <v>249</v>
      </c>
      <c r="G305" s="37">
        <v>202.8887</v>
      </c>
      <c r="H305" s="38">
        <v>0</v>
      </c>
    </row>
    <row r="306" spans="1:8" x14ac:dyDescent="0.25">
      <c r="A306" s="85"/>
      <c r="D306" s="96" t="s">
        <v>1500</v>
      </c>
      <c r="E306" s="388" t="s">
        <v>4</v>
      </c>
      <c r="F306" s="388"/>
      <c r="G306" s="97">
        <v>202.8887</v>
      </c>
      <c r="H306" s="98"/>
    </row>
    <row r="307" spans="1:8" x14ac:dyDescent="0.25">
      <c r="A307" s="1" t="s">
        <v>167</v>
      </c>
      <c r="B307" s="2" t="s">
        <v>89</v>
      </c>
      <c r="C307" s="2" t="s">
        <v>487</v>
      </c>
      <c r="D307" s="280" t="s">
        <v>488</v>
      </c>
      <c r="E307" s="280"/>
      <c r="F307" s="2" t="s">
        <v>333</v>
      </c>
      <c r="G307" s="37">
        <v>68.87</v>
      </c>
      <c r="H307" s="38">
        <v>0</v>
      </c>
    </row>
    <row r="308" spans="1:8" x14ac:dyDescent="0.25">
      <c r="A308" s="85"/>
      <c r="D308" s="96" t="s">
        <v>1501</v>
      </c>
      <c r="E308" s="388" t="s">
        <v>4</v>
      </c>
      <c r="F308" s="388"/>
      <c r="G308" s="97">
        <v>68.87</v>
      </c>
      <c r="H308" s="98"/>
    </row>
    <row r="309" spans="1:8" x14ac:dyDescent="0.25">
      <c r="A309" s="1" t="s">
        <v>489</v>
      </c>
      <c r="B309" s="2" t="s">
        <v>89</v>
      </c>
      <c r="C309" s="2" t="s">
        <v>490</v>
      </c>
      <c r="D309" s="280" t="s">
        <v>491</v>
      </c>
      <c r="E309" s="280"/>
      <c r="F309" s="2" t="s">
        <v>333</v>
      </c>
      <c r="G309" s="37">
        <v>6.1</v>
      </c>
      <c r="H309" s="38">
        <v>0</v>
      </c>
    </row>
    <row r="310" spans="1:8" x14ac:dyDescent="0.25">
      <c r="A310" s="85"/>
      <c r="D310" s="96" t="s">
        <v>1502</v>
      </c>
      <c r="E310" s="388" t="s">
        <v>4</v>
      </c>
      <c r="F310" s="388"/>
      <c r="G310" s="97">
        <v>6.1</v>
      </c>
      <c r="H310" s="98"/>
    </row>
    <row r="311" spans="1:8" x14ac:dyDescent="0.25">
      <c r="A311" s="1" t="s">
        <v>169</v>
      </c>
      <c r="B311" s="2" t="s">
        <v>89</v>
      </c>
      <c r="C311" s="2" t="s">
        <v>492</v>
      </c>
      <c r="D311" s="280" t="s">
        <v>493</v>
      </c>
      <c r="E311" s="280"/>
      <c r="F311" s="2" t="s">
        <v>249</v>
      </c>
      <c r="G311" s="37">
        <v>61.19</v>
      </c>
      <c r="H311" s="38">
        <v>0</v>
      </c>
    </row>
    <row r="312" spans="1:8" x14ac:dyDescent="0.25">
      <c r="A312" s="85"/>
      <c r="D312" s="96" t="s">
        <v>1503</v>
      </c>
      <c r="E312" s="388" t="s">
        <v>4</v>
      </c>
      <c r="F312" s="388"/>
      <c r="G312" s="97">
        <v>22.44</v>
      </c>
      <c r="H312" s="98"/>
    </row>
    <row r="313" spans="1:8" x14ac:dyDescent="0.25">
      <c r="A313" s="1" t="s">
        <v>4</v>
      </c>
      <c r="B313" s="2" t="s">
        <v>4</v>
      </c>
      <c r="C313" s="2" t="s">
        <v>4</v>
      </c>
      <c r="D313" s="96" t="s">
        <v>1504</v>
      </c>
      <c r="E313" s="388" t="s">
        <v>4</v>
      </c>
      <c r="F313" s="388"/>
      <c r="G313" s="97">
        <v>38.75</v>
      </c>
      <c r="H313" s="79" t="s">
        <v>4</v>
      </c>
    </row>
    <row r="314" spans="1:8" x14ac:dyDescent="0.25">
      <c r="A314" s="1" t="s">
        <v>495</v>
      </c>
      <c r="B314" s="2" t="s">
        <v>89</v>
      </c>
      <c r="C314" s="2" t="s">
        <v>496</v>
      </c>
      <c r="D314" s="280" t="s">
        <v>497</v>
      </c>
      <c r="E314" s="280"/>
      <c r="F314" s="2" t="s">
        <v>249</v>
      </c>
      <c r="G314" s="37">
        <v>38.75</v>
      </c>
      <c r="H314" s="38">
        <v>0</v>
      </c>
    </row>
    <row r="315" spans="1:8" x14ac:dyDescent="0.25">
      <c r="A315" s="85"/>
      <c r="D315" s="96" t="s">
        <v>1504</v>
      </c>
      <c r="E315" s="388" t="s">
        <v>1505</v>
      </c>
      <c r="F315" s="388"/>
      <c r="G315" s="97">
        <v>38.75</v>
      </c>
      <c r="H315" s="98"/>
    </row>
    <row r="316" spans="1:8" x14ac:dyDescent="0.25">
      <c r="A316" s="1" t="s">
        <v>171</v>
      </c>
      <c r="B316" s="2" t="s">
        <v>89</v>
      </c>
      <c r="C316" s="2" t="s">
        <v>498</v>
      </c>
      <c r="D316" s="280" t="s">
        <v>499</v>
      </c>
      <c r="E316" s="280"/>
      <c r="F316" s="2" t="s">
        <v>249</v>
      </c>
      <c r="G316" s="37">
        <v>158.09</v>
      </c>
      <c r="H316" s="38">
        <v>0</v>
      </c>
    </row>
    <row r="317" spans="1:8" x14ac:dyDescent="0.25">
      <c r="A317" s="85"/>
      <c r="D317" s="96" t="s">
        <v>1503</v>
      </c>
      <c r="E317" s="388" t="s">
        <v>4</v>
      </c>
      <c r="F317" s="388"/>
      <c r="G317" s="97">
        <v>22.44</v>
      </c>
      <c r="H317" s="98"/>
    </row>
    <row r="318" spans="1:8" x14ac:dyDescent="0.25">
      <c r="A318" s="1" t="s">
        <v>4</v>
      </c>
      <c r="B318" s="2" t="s">
        <v>4</v>
      </c>
      <c r="C318" s="2" t="s">
        <v>4</v>
      </c>
      <c r="D318" s="96" t="s">
        <v>1504</v>
      </c>
      <c r="E318" s="388" t="s">
        <v>4</v>
      </c>
      <c r="F318" s="388"/>
      <c r="G318" s="97">
        <v>38.75</v>
      </c>
      <c r="H318" s="79" t="s">
        <v>4</v>
      </c>
    </row>
    <row r="319" spans="1:8" x14ac:dyDescent="0.25">
      <c r="A319" s="1" t="s">
        <v>4</v>
      </c>
      <c r="B319" s="2" t="s">
        <v>4</v>
      </c>
      <c r="C319" s="2" t="s">
        <v>4</v>
      </c>
      <c r="D319" s="96" t="s">
        <v>125</v>
      </c>
      <c r="E319" s="388" t="s">
        <v>4</v>
      </c>
      <c r="F319" s="388"/>
      <c r="G319" s="97">
        <v>63</v>
      </c>
      <c r="H319" s="79" t="s">
        <v>4</v>
      </c>
    </row>
    <row r="320" spans="1:8" x14ac:dyDescent="0.25">
      <c r="A320" s="1" t="s">
        <v>4</v>
      </c>
      <c r="B320" s="2" t="s">
        <v>4</v>
      </c>
      <c r="C320" s="2" t="s">
        <v>4</v>
      </c>
      <c r="D320" s="96" t="s">
        <v>1506</v>
      </c>
      <c r="E320" s="388" t="s">
        <v>4</v>
      </c>
      <c r="F320" s="388"/>
      <c r="G320" s="97">
        <v>33.9</v>
      </c>
      <c r="H320" s="79" t="s">
        <v>4</v>
      </c>
    </row>
    <row r="321" spans="1:8" x14ac:dyDescent="0.25">
      <c r="A321" s="1" t="s">
        <v>500</v>
      </c>
      <c r="B321" s="2" t="s">
        <v>89</v>
      </c>
      <c r="C321" s="2" t="s">
        <v>501</v>
      </c>
      <c r="D321" s="280" t="s">
        <v>502</v>
      </c>
      <c r="E321" s="280"/>
      <c r="F321" s="2" t="s">
        <v>222</v>
      </c>
      <c r="G321" s="37">
        <v>5.8094999999999999</v>
      </c>
      <c r="H321" s="38">
        <v>0</v>
      </c>
    </row>
    <row r="322" spans="1:8" x14ac:dyDescent="0.25">
      <c r="A322" s="85"/>
      <c r="D322" s="96" t="s">
        <v>1507</v>
      </c>
      <c r="E322" s="388" t="s">
        <v>4</v>
      </c>
      <c r="F322" s="388"/>
      <c r="G322" s="97">
        <v>3.15</v>
      </c>
      <c r="H322" s="98"/>
    </row>
    <row r="323" spans="1:8" x14ac:dyDescent="0.25">
      <c r="A323" s="1" t="s">
        <v>4</v>
      </c>
      <c r="B323" s="2" t="s">
        <v>4</v>
      </c>
      <c r="C323" s="2" t="s">
        <v>4</v>
      </c>
      <c r="D323" s="96" t="s">
        <v>1508</v>
      </c>
      <c r="E323" s="388" t="s">
        <v>4</v>
      </c>
      <c r="F323" s="388"/>
      <c r="G323" s="97">
        <v>1.6950000000000001</v>
      </c>
      <c r="H323" s="79" t="s">
        <v>4</v>
      </c>
    </row>
    <row r="324" spans="1:8" x14ac:dyDescent="0.25">
      <c r="A324" s="1" t="s">
        <v>4</v>
      </c>
      <c r="B324" s="2" t="s">
        <v>4</v>
      </c>
      <c r="C324" s="2" t="s">
        <v>4</v>
      </c>
      <c r="D324" s="96" t="s">
        <v>1509</v>
      </c>
      <c r="E324" s="388" t="s">
        <v>4</v>
      </c>
      <c r="F324" s="388"/>
      <c r="G324" s="97">
        <v>0.152</v>
      </c>
      <c r="H324" s="79" t="s">
        <v>4</v>
      </c>
    </row>
    <row r="325" spans="1:8" x14ac:dyDescent="0.25">
      <c r="A325" s="1" t="s">
        <v>4</v>
      </c>
      <c r="B325" s="2" t="s">
        <v>4</v>
      </c>
      <c r="C325" s="2" t="s">
        <v>4</v>
      </c>
      <c r="D325" s="96" t="s">
        <v>1510</v>
      </c>
      <c r="E325" s="388" t="s">
        <v>4</v>
      </c>
      <c r="F325" s="388"/>
      <c r="G325" s="97">
        <v>0.8125</v>
      </c>
      <c r="H325" s="79" t="s">
        <v>4</v>
      </c>
    </row>
    <row r="326" spans="1:8" x14ac:dyDescent="0.25">
      <c r="A326" s="1" t="s">
        <v>503</v>
      </c>
      <c r="B326" s="2" t="s">
        <v>89</v>
      </c>
      <c r="C326" s="2" t="s">
        <v>504</v>
      </c>
      <c r="D326" s="280" t="s">
        <v>505</v>
      </c>
      <c r="E326" s="280"/>
      <c r="F326" s="2" t="s">
        <v>296</v>
      </c>
      <c r="G326" s="37">
        <v>0.20238999999999999</v>
      </c>
      <c r="H326" s="38">
        <v>0</v>
      </c>
    </row>
    <row r="327" spans="1:8" x14ac:dyDescent="0.25">
      <c r="A327" s="85"/>
      <c r="D327" s="96" t="s">
        <v>1511</v>
      </c>
      <c r="E327" s="388" t="s">
        <v>4</v>
      </c>
      <c r="F327" s="388"/>
      <c r="G327" s="97">
        <v>0.11022</v>
      </c>
      <c r="H327" s="98"/>
    </row>
    <row r="328" spans="1:8" x14ac:dyDescent="0.25">
      <c r="A328" s="1" t="s">
        <v>4</v>
      </c>
      <c r="B328" s="2" t="s">
        <v>4</v>
      </c>
      <c r="C328" s="2" t="s">
        <v>4</v>
      </c>
      <c r="D328" s="96" t="s">
        <v>1512</v>
      </c>
      <c r="E328" s="388" t="s">
        <v>4</v>
      </c>
      <c r="F328" s="388"/>
      <c r="G328" s="97">
        <v>5.9310000000000002E-2</v>
      </c>
      <c r="H328" s="79" t="s">
        <v>4</v>
      </c>
    </row>
    <row r="329" spans="1:8" x14ac:dyDescent="0.25">
      <c r="A329" s="1" t="s">
        <v>4</v>
      </c>
      <c r="B329" s="2" t="s">
        <v>4</v>
      </c>
      <c r="C329" s="2" t="s">
        <v>4</v>
      </c>
      <c r="D329" s="96" t="s">
        <v>1513</v>
      </c>
      <c r="E329" s="388" t="s">
        <v>4</v>
      </c>
      <c r="F329" s="388"/>
      <c r="G329" s="97">
        <v>4.4299999999999999E-3</v>
      </c>
      <c r="H329" s="79" t="s">
        <v>4</v>
      </c>
    </row>
    <row r="330" spans="1:8" x14ac:dyDescent="0.25">
      <c r="A330" s="1" t="s">
        <v>4</v>
      </c>
      <c r="B330" s="2" t="s">
        <v>4</v>
      </c>
      <c r="C330" s="2" t="s">
        <v>4</v>
      </c>
      <c r="D330" s="96" t="s">
        <v>1514</v>
      </c>
      <c r="E330" s="388" t="s">
        <v>4</v>
      </c>
      <c r="F330" s="388"/>
      <c r="G330" s="97">
        <v>2.843E-2</v>
      </c>
      <c r="H330" s="79" t="s">
        <v>4</v>
      </c>
    </row>
    <row r="331" spans="1:8" x14ac:dyDescent="0.25">
      <c r="A331" s="1" t="s">
        <v>173</v>
      </c>
      <c r="B331" s="2" t="s">
        <v>89</v>
      </c>
      <c r="C331" s="2" t="s">
        <v>506</v>
      </c>
      <c r="D331" s="280" t="s">
        <v>507</v>
      </c>
      <c r="E331" s="280"/>
      <c r="F331" s="2" t="s">
        <v>249</v>
      </c>
      <c r="G331" s="37">
        <v>96.9</v>
      </c>
      <c r="H331" s="38">
        <v>0</v>
      </c>
    </row>
    <row r="332" spans="1:8" x14ac:dyDescent="0.25">
      <c r="A332" s="85"/>
      <c r="D332" s="96" t="s">
        <v>125</v>
      </c>
      <c r="E332" s="388" t="s">
        <v>4</v>
      </c>
      <c r="F332" s="388"/>
      <c r="G332" s="97">
        <v>63</v>
      </c>
      <c r="H332" s="98"/>
    </row>
    <row r="333" spans="1:8" x14ac:dyDescent="0.25">
      <c r="A333" s="1" t="s">
        <v>4</v>
      </c>
      <c r="B333" s="2" t="s">
        <v>4</v>
      </c>
      <c r="C333" s="2" t="s">
        <v>4</v>
      </c>
      <c r="D333" s="96" t="s">
        <v>1506</v>
      </c>
      <c r="E333" s="388" t="s">
        <v>4</v>
      </c>
      <c r="F333" s="388"/>
      <c r="G333" s="97">
        <v>33.9</v>
      </c>
      <c r="H333" s="79" t="s">
        <v>4</v>
      </c>
    </row>
    <row r="334" spans="1:8" x14ac:dyDescent="0.25">
      <c r="A334" s="1" t="s">
        <v>175</v>
      </c>
      <c r="B334" s="2" t="s">
        <v>89</v>
      </c>
      <c r="C334" s="2" t="s">
        <v>508</v>
      </c>
      <c r="D334" s="280" t="s">
        <v>509</v>
      </c>
      <c r="E334" s="280"/>
      <c r="F334" s="2" t="s">
        <v>329</v>
      </c>
      <c r="G334" s="37">
        <v>1</v>
      </c>
      <c r="H334" s="38">
        <v>0</v>
      </c>
    </row>
    <row r="335" spans="1:8" x14ac:dyDescent="0.25">
      <c r="A335" s="85"/>
      <c r="D335" s="96" t="s">
        <v>219</v>
      </c>
      <c r="E335" s="388" t="s">
        <v>4</v>
      </c>
      <c r="F335" s="388"/>
      <c r="G335" s="97">
        <v>1</v>
      </c>
      <c r="H335" s="98"/>
    </row>
    <row r="336" spans="1:8" x14ac:dyDescent="0.25">
      <c r="A336" s="1" t="s">
        <v>177</v>
      </c>
      <c r="B336" s="2" t="s">
        <v>89</v>
      </c>
      <c r="C336" s="2" t="s">
        <v>511</v>
      </c>
      <c r="D336" s="280" t="s">
        <v>512</v>
      </c>
      <c r="E336" s="280"/>
      <c r="F336" s="2" t="s">
        <v>329</v>
      </c>
      <c r="G336" s="37">
        <v>1</v>
      </c>
      <c r="H336" s="38">
        <v>0</v>
      </c>
    </row>
    <row r="337" spans="1:8" x14ac:dyDescent="0.25">
      <c r="A337" s="85"/>
      <c r="D337" s="96" t="s">
        <v>219</v>
      </c>
      <c r="E337" s="388" t="s">
        <v>4</v>
      </c>
      <c r="F337" s="388"/>
      <c r="G337" s="97">
        <v>1</v>
      </c>
      <c r="H337" s="98"/>
    </row>
    <row r="338" spans="1:8" x14ac:dyDescent="0.25">
      <c r="A338" s="1" t="s">
        <v>513</v>
      </c>
      <c r="B338" s="2" t="s">
        <v>89</v>
      </c>
      <c r="C338" s="2" t="s">
        <v>514</v>
      </c>
      <c r="D338" s="280" t="s">
        <v>515</v>
      </c>
      <c r="E338" s="280"/>
      <c r="F338" s="2" t="s">
        <v>333</v>
      </c>
      <c r="G338" s="37">
        <v>14.13</v>
      </c>
      <c r="H338" s="38">
        <v>0</v>
      </c>
    </row>
    <row r="339" spans="1:8" x14ac:dyDescent="0.25">
      <c r="A339" s="85"/>
      <c r="D339" s="96" t="s">
        <v>1515</v>
      </c>
      <c r="E339" s="388" t="s">
        <v>1516</v>
      </c>
      <c r="F339" s="388"/>
      <c r="G339" s="97">
        <v>1.48</v>
      </c>
      <c r="H339" s="98"/>
    </row>
    <row r="340" spans="1:8" x14ac:dyDescent="0.25">
      <c r="A340" s="1" t="s">
        <v>4</v>
      </c>
      <c r="B340" s="2" t="s">
        <v>4</v>
      </c>
      <c r="C340" s="2" t="s">
        <v>4</v>
      </c>
      <c r="D340" s="96" t="s">
        <v>219</v>
      </c>
      <c r="E340" s="388" t="s">
        <v>1517</v>
      </c>
      <c r="F340" s="388"/>
      <c r="G340" s="97">
        <v>1</v>
      </c>
      <c r="H340" s="79" t="s">
        <v>4</v>
      </c>
    </row>
    <row r="341" spans="1:8" x14ac:dyDescent="0.25">
      <c r="A341" s="1" t="s">
        <v>4</v>
      </c>
      <c r="B341" s="2" t="s">
        <v>4</v>
      </c>
      <c r="C341" s="2" t="s">
        <v>4</v>
      </c>
      <c r="D341" s="96" t="s">
        <v>1518</v>
      </c>
      <c r="E341" s="388" t="s">
        <v>1519</v>
      </c>
      <c r="F341" s="388"/>
      <c r="G341" s="97">
        <v>0.5</v>
      </c>
      <c r="H341" s="79" t="s">
        <v>4</v>
      </c>
    </row>
    <row r="342" spans="1:8" x14ac:dyDescent="0.25">
      <c r="A342" s="1" t="s">
        <v>4</v>
      </c>
      <c r="B342" s="2" t="s">
        <v>4</v>
      </c>
      <c r="C342" s="2" t="s">
        <v>4</v>
      </c>
      <c r="D342" s="96" t="s">
        <v>1520</v>
      </c>
      <c r="E342" s="388" t="s">
        <v>1521</v>
      </c>
      <c r="F342" s="388"/>
      <c r="G342" s="97">
        <v>0.75</v>
      </c>
      <c r="H342" s="79" t="s">
        <v>4</v>
      </c>
    </row>
    <row r="343" spans="1:8" x14ac:dyDescent="0.25">
      <c r="A343" s="1" t="s">
        <v>4</v>
      </c>
      <c r="B343" s="2" t="s">
        <v>4</v>
      </c>
      <c r="C343" s="2" t="s">
        <v>4</v>
      </c>
      <c r="D343" s="96" t="s">
        <v>1522</v>
      </c>
      <c r="E343" s="388" t="s">
        <v>1523</v>
      </c>
      <c r="F343" s="388"/>
      <c r="G343" s="97">
        <v>4.0999999999999996</v>
      </c>
      <c r="H343" s="79" t="s">
        <v>4</v>
      </c>
    </row>
    <row r="344" spans="1:8" x14ac:dyDescent="0.25">
      <c r="A344" s="1" t="s">
        <v>4</v>
      </c>
      <c r="B344" s="2" t="s">
        <v>4</v>
      </c>
      <c r="C344" s="2" t="s">
        <v>4</v>
      </c>
      <c r="D344" s="96" t="s">
        <v>219</v>
      </c>
      <c r="E344" s="388" t="s">
        <v>1524</v>
      </c>
      <c r="F344" s="388"/>
      <c r="G344" s="97">
        <v>1</v>
      </c>
      <c r="H344" s="79" t="s">
        <v>4</v>
      </c>
    </row>
    <row r="345" spans="1:8" x14ac:dyDescent="0.25">
      <c r="A345" s="1" t="s">
        <v>4</v>
      </c>
      <c r="B345" s="2" t="s">
        <v>4</v>
      </c>
      <c r="C345" s="2" t="s">
        <v>4</v>
      </c>
      <c r="D345" s="96" t="s">
        <v>227</v>
      </c>
      <c r="E345" s="388" t="s">
        <v>1525</v>
      </c>
      <c r="F345" s="388"/>
      <c r="G345" s="97">
        <v>2</v>
      </c>
      <c r="H345" s="79" t="s">
        <v>4</v>
      </c>
    </row>
    <row r="346" spans="1:8" x14ac:dyDescent="0.25">
      <c r="A346" s="1" t="s">
        <v>4</v>
      </c>
      <c r="B346" s="2" t="s">
        <v>4</v>
      </c>
      <c r="C346" s="2" t="s">
        <v>4</v>
      </c>
      <c r="D346" s="96" t="s">
        <v>1526</v>
      </c>
      <c r="E346" s="388" t="s">
        <v>1527</v>
      </c>
      <c r="F346" s="388"/>
      <c r="G346" s="97">
        <v>1.5</v>
      </c>
      <c r="H346" s="79" t="s">
        <v>4</v>
      </c>
    </row>
    <row r="347" spans="1:8" x14ac:dyDescent="0.25">
      <c r="A347" s="1" t="s">
        <v>4</v>
      </c>
      <c r="B347" s="2" t="s">
        <v>4</v>
      </c>
      <c r="C347" s="2" t="s">
        <v>4</v>
      </c>
      <c r="D347" s="96" t="s">
        <v>1528</v>
      </c>
      <c r="E347" s="388" t="s">
        <v>1529</v>
      </c>
      <c r="F347" s="388"/>
      <c r="G347" s="97">
        <v>1.8</v>
      </c>
      <c r="H347" s="79" t="s">
        <v>4</v>
      </c>
    </row>
    <row r="348" spans="1:8" x14ac:dyDescent="0.25">
      <c r="A348" s="1" t="s">
        <v>516</v>
      </c>
      <c r="B348" s="2" t="s">
        <v>89</v>
      </c>
      <c r="C348" s="2" t="s">
        <v>517</v>
      </c>
      <c r="D348" s="280" t="s">
        <v>518</v>
      </c>
      <c r="E348" s="280"/>
      <c r="F348" s="2" t="s">
        <v>329</v>
      </c>
      <c r="G348" s="37">
        <v>1</v>
      </c>
      <c r="H348" s="38">
        <v>0</v>
      </c>
    </row>
    <row r="349" spans="1:8" x14ac:dyDescent="0.25">
      <c r="A349" s="85"/>
      <c r="D349" s="96" t="s">
        <v>219</v>
      </c>
      <c r="E349" s="388" t="s">
        <v>4</v>
      </c>
      <c r="F349" s="388"/>
      <c r="G349" s="97">
        <v>1</v>
      </c>
      <c r="H349" s="98"/>
    </row>
    <row r="350" spans="1:8" x14ac:dyDescent="0.25">
      <c r="A350" s="1" t="s">
        <v>519</v>
      </c>
      <c r="B350" s="2" t="s">
        <v>89</v>
      </c>
      <c r="C350" s="2" t="s">
        <v>520</v>
      </c>
      <c r="D350" s="280" t="s">
        <v>521</v>
      </c>
      <c r="E350" s="280"/>
      <c r="F350" s="2" t="s">
        <v>296</v>
      </c>
      <c r="G350" s="37">
        <v>221.02168</v>
      </c>
      <c r="H350" s="38">
        <v>0</v>
      </c>
    </row>
    <row r="351" spans="1:8" x14ac:dyDescent="0.25">
      <c r="A351" s="1" t="s">
        <v>522</v>
      </c>
      <c r="B351" s="2" t="s">
        <v>89</v>
      </c>
      <c r="C351" s="2" t="s">
        <v>523</v>
      </c>
      <c r="D351" s="280" t="s">
        <v>524</v>
      </c>
      <c r="E351" s="280"/>
      <c r="F351" s="2" t="s">
        <v>249</v>
      </c>
      <c r="G351" s="37">
        <v>158.09</v>
      </c>
      <c r="H351" s="38">
        <v>0</v>
      </c>
    </row>
    <row r="352" spans="1:8" x14ac:dyDescent="0.25">
      <c r="A352" s="85"/>
      <c r="D352" s="96" t="s">
        <v>1503</v>
      </c>
      <c r="E352" s="388" t="s">
        <v>4</v>
      </c>
      <c r="F352" s="388"/>
      <c r="G352" s="97">
        <v>22.44</v>
      </c>
      <c r="H352" s="98"/>
    </row>
    <row r="353" spans="1:8" x14ac:dyDescent="0.25">
      <c r="A353" s="1" t="s">
        <v>4</v>
      </c>
      <c r="B353" s="2" t="s">
        <v>4</v>
      </c>
      <c r="C353" s="2" t="s">
        <v>4</v>
      </c>
      <c r="D353" s="96" t="s">
        <v>1504</v>
      </c>
      <c r="E353" s="388" t="s">
        <v>4</v>
      </c>
      <c r="F353" s="388"/>
      <c r="G353" s="97">
        <v>38.75</v>
      </c>
      <c r="H353" s="79" t="s">
        <v>4</v>
      </c>
    </row>
    <row r="354" spans="1:8" x14ac:dyDescent="0.25">
      <c r="A354" s="1" t="s">
        <v>4</v>
      </c>
      <c r="B354" s="2" t="s">
        <v>4</v>
      </c>
      <c r="C354" s="2" t="s">
        <v>4</v>
      </c>
      <c r="D354" s="96" t="s">
        <v>125</v>
      </c>
      <c r="E354" s="388" t="s">
        <v>4</v>
      </c>
      <c r="F354" s="388"/>
      <c r="G354" s="97">
        <v>63</v>
      </c>
      <c r="H354" s="79" t="s">
        <v>4</v>
      </c>
    </row>
    <row r="355" spans="1:8" x14ac:dyDescent="0.25">
      <c r="A355" s="1" t="s">
        <v>4</v>
      </c>
      <c r="B355" s="2" t="s">
        <v>4</v>
      </c>
      <c r="C355" s="2" t="s">
        <v>4</v>
      </c>
      <c r="D355" s="96" t="s">
        <v>1506</v>
      </c>
      <c r="E355" s="388" t="s">
        <v>4</v>
      </c>
      <c r="F355" s="388"/>
      <c r="G355" s="97">
        <v>33.9</v>
      </c>
      <c r="H355" s="79" t="s">
        <v>4</v>
      </c>
    </row>
    <row r="356" spans="1:8" x14ac:dyDescent="0.25">
      <c r="A356" s="1" t="s">
        <v>527</v>
      </c>
      <c r="B356" s="2" t="s">
        <v>89</v>
      </c>
      <c r="C356" s="2" t="s">
        <v>528</v>
      </c>
      <c r="D356" s="280" t="s">
        <v>529</v>
      </c>
      <c r="E356" s="280"/>
      <c r="F356" s="2" t="s">
        <v>249</v>
      </c>
      <c r="G356" s="37">
        <v>116.19</v>
      </c>
      <c r="H356" s="38">
        <v>0</v>
      </c>
    </row>
    <row r="357" spans="1:8" x14ac:dyDescent="0.25">
      <c r="A357" s="85"/>
      <c r="D357" s="96" t="s">
        <v>125</v>
      </c>
      <c r="E357" s="388" t="s">
        <v>4</v>
      </c>
      <c r="F357" s="388"/>
      <c r="G357" s="97">
        <v>63</v>
      </c>
      <c r="H357" s="98"/>
    </row>
    <row r="358" spans="1:8" x14ac:dyDescent="0.25">
      <c r="A358" s="1" t="s">
        <v>4</v>
      </c>
      <c r="B358" s="2" t="s">
        <v>4</v>
      </c>
      <c r="C358" s="2" t="s">
        <v>4</v>
      </c>
      <c r="D358" s="96" t="s">
        <v>1506</v>
      </c>
      <c r="E358" s="388" t="s">
        <v>4</v>
      </c>
      <c r="F358" s="388"/>
      <c r="G358" s="97">
        <v>33.9</v>
      </c>
      <c r="H358" s="79" t="s">
        <v>4</v>
      </c>
    </row>
    <row r="359" spans="1:8" x14ac:dyDescent="0.25">
      <c r="A359" s="1" t="s">
        <v>4</v>
      </c>
      <c r="B359" s="2" t="s">
        <v>4</v>
      </c>
      <c r="C359" s="2" t="s">
        <v>4</v>
      </c>
      <c r="D359" s="96" t="s">
        <v>1530</v>
      </c>
      <c r="E359" s="388" t="s">
        <v>4</v>
      </c>
      <c r="F359" s="388"/>
      <c r="G359" s="97">
        <v>3.04</v>
      </c>
      <c r="H359" s="79" t="s">
        <v>4</v>
      </c>
    </row>
    <row r="360" spans="1:8" x14ac:dyDescent="0.25">
      <c r="A360" s="1" t="s">
        <v>4</v>
      </c>
      <c r="B360" s="2" t="s">
        <v>4</v>
      </c>
      <c r="C360" s="2" t="s">
        <v>4</v>
      </c>
      <c r="D360" s="96" t="s">
        <v>1531</v>
      </c>
      <c r="E360" s="388" t="s">
        <v>4</v>
      </c>
      <c r="F360" s="388"/>
      <c r="G360" s="97">
        <v>16.25</v>
      </c>
      <c r="H360" s="79" t="s">
        <v>4</v>
      </c>
    </row>
    <row r="361" spans="1:8" x14ac:dyDescent="0.25">
      <c r="A361" s="1" t="s">
        <v>530</v>
      </c>
      <c r="B361" s="2" t="s">
        <v>89</v>
      </c>
      <c r="C361" s="2" t="s">
        <v>531</v>
      </c>
      <c r="D361" s="280" t="s">
        <v>532</v>
      </c>
      <c r="E361" s="280"/>
      <c r="F361" s="2" t="s">
        <v>249</v>
      </c>
      <c r="G361" s="37">
        <v>139.428</v>
      </c>
      <c r="H361" s="38">
        <v>0</v>
      </c>
    </row>
    <row r="362" spans="1:8" x14ac:dyDescent="0.25">
      <c r="A362" s="85"/>
      <c r="D362" s="96" t="s">
        <v>1532</v>
      </c>
      <c r="E362" s="388" t="s">
        <v>4</v>
      </c>
      <c r="F362" s="388"/>
      <c r="G362" s="97">
        <v>75.599999999999994</v>
      </c>
      <c r="H362" s="98"/>
    </row>
    <row r="363" spans="1:8" x14ac:dyDescent="0.25">
      <c r="A363" s="1" t="s">
        <v>4</v>
      </c>
      <c r="B363" s="2" t="s">
        <v>4</v>
      </c>
      <c r="C363" s="2" t="s">
        <v>4</v>
      </c>
      <c r="D363" s="96" t="s">
        <v>1533</v>
      </c>
      <c r="E363" s="388" t="s">
        <v>4</v>
      </c>
      <c r="F363" s="388"/>
      <c r="G363" s="97">
        <v>40.68</v>
      </c>
      <c r="H363" s="79" t="s">
        <v>4</v>
      </c>
    </row>
    <row r="364" spans="1:8" x14ac:dyDescent="0.25">
      <c r="A364" s="1" t="s">
        <v>4</v>
      </c>
      <c r="B364" s="2" t="s">
        <v>4</v>
      </c>
      <c r="C364" s="2" t="s">
        <v>4</v>
      </c>
      <c r="D364" s="96" t="s">
        <v>1534</v>
      </c>
      <c r="E364" s="388" t="s">
        <v>4</v>
      </c>
      <c r="F364" s="388"/>
      <c r="G364" s="97">
        <v>3.6480000000000001</v>
      </c>
      <c r="H364" s="79" t="s">
        <v>4</v>
      </c>
    </row>
    <row r="365" spans="1:8" x14ac:dyDescent="0.25">
      <c r="A365" s="1" t="s">
        <v>4</v>
      </c>
      <c r="B365" s="2" t="s">
        <v>4</v>
      </c>
      <c r="C365" s="2" t="s">
        <v>4</v>
      </c>
      <c r="D365" s="96" t="s">
        <v>1535</v>
      </c>
      <c r="E365" s="388" t="s">
        <v>4</v>
      </c>
      <c r="F365" s="388"/>
      <c r="G365" s="97">
        <v>19.5</v>
      </c>
      <c r="H365" s="79" t="s">
        <v>4</v>
      </c>
    </row>
    <row r="366" spans="1:8" x14ac:dyDescent="0.25">
      <c r="A366" s="1" t="s">
        <v>533</v>
      </c>
      <c r="B366" s="2" t="s">
        <v>89</v>
      </c>
      <c r="C366" s="2" t="s">
        <v>534</v>
      </c>
      <c r="D366" s="280" t="s">
        <v>535</v>
      </c>
      <c r="E366" s="280"/>
      <c r="F366" s="2" t="s">
        <v>249</v>
      </c>
      <c r="G366" s="37">
        <v>19.29</v>
      </c>
      <c r="H366" s="38">
        <v>0</v>
      </c>
    </row>
    <row r="367" spans="1:8" x14ac:dyDescent="0.25">
      <c r="A367" s="85"/>
      <c r="D367" s="96" t="s">
        <v>1530</v>
      </c>
      <c r="E367" s="388" t="s">
        <v>4</v>
      </c>
      <c r="F367" s="388"/>
      <c r="G367" s="97">
        <v>3.04</v>
      </c>
      <c r="H367" s="98"/>
    </row>
    <row r="368" spans="1:8" x14ac:dyDescent="0.25">
      <c r="A368" s="1" t="s">
        <v>4</v>
      </c>
      <c r="B368" s="2" t="s">
        <v>4</v>
      </c>
      <c r="C368" s="2" t="s">
        <v>4</v>
      </c>
      <c r="D368" s="96" t="s">
        <v>1531</v>
      </c>
      <c r="E368" s="388" t="s">
        <v>4</v>
      </c>
      <c r="F368" s="388"/>
      <c r="G368" s="97">
        <v>16.25</v>
      </c>
      <c r="H368" s="79" t="s">
        <v>4</v>
      </c>
    </row>
    <row r="369" spans="1:8" x14ac:dyDescent="0.25">
      <c r="A369" s="1" t="s">
        <v>536</v>
      </c>
      <c r="B369" s="2" t="s">
        <v>89</v>
      </c>
      <c r="C369" s="2" t="s">
        <v>537</v>
      </c>
      <c r="D369" s="280" t="s">
        <v>538</v>
      </c>
      <c r="E369" s="280"/>
      <c r="F369" s="2" t="s">
        <v>63</v>
      </c>
      <c r="G369" s="37">
        <v>1105.8901000000001</v>
      </c>
      <c r="H369" s="38">
        <v>0</v>
      </c>
    </row>
    <row r="370" spans="1:8" x14ac:dyDescent="0.25">
      <c r="A370" s="85"/>
      <c r="D370" s="96" t="s">
        <v>1536</v>
      </c>
      <c r="E370" s="388" t="s">
        <v>4</v>
      </c>
      <c r="F370" s="388"/>
      <c r="G370" s="97">
        <v>1105.8901000000001</v>
      </c>
      <c r="H370" s="98"/>
    </row>
    <row r="371" spans="1:8" x14ac:dyDescent="0.25">
      <c r="A371" s="1" t="s">
        <v>539</v>
      </c>
      <c r="B371" s="2" t="s">
        <v>89</v>
      </c>
      <c r="C371" s="2" t="s">
        <v>540</v>
      </c>
      <c r="D371" s="280" t="s">
        <v>541</v>
      </c>
      <c r="E371" s="280"/>
      <c r="F371" s="2" t="s">
        <v>333</v>
      </c>
      <c r="G371" s="37">
        <v>1.2</v>
      </c>
      <c r="H371" s="38">
        <v>0</v>
      </c>
    </row>
    <row r="372" spans="1:8" x14ac:dyDescent="0.25">
      <c r="A372" s="85"/>
      <c r="D372" s="96" t="s">
        <v>1537</v>
      </c>
      <c r="E372" s="388" t="s">
        <v>4</v>
      </c>
      <c r="F372" s="388"/>
      <c r="G372" s="97">
        <v>1.2</v>
      </c>
      <c r="H372" s="98"/>
    </row>
    <row r="373" spans="1:8" x14ac:dyDescent="0.25">
      <c r="A373" s="1" t="s">
        <v>543</v>
      </c>
      <c r="B373" s="2" t="s">
        <v>89</v>
      </c>
      <c r="C373" s="2" t="s">
        <v>544</v>
      </c>
      <c r="D373" s="280" t="s">
        <v>545</v>
      </c>
      <c r="E373" s="280"/>
      <c r="F373" s="2" t="s">
        <v>249</v>
      </c>
      <c r="G373" s="37">
        <v>116.19</v>
      </c>
      <c r="H373" s="38">
        <v>0</v>
      </c>
    </row>
    <row r="374" spans="1:8" x14ac:dyDescent="0.25">
      <c r="A374" s="85"/>
      <c r="D374" s="96" t="s">
        <v>125</v>
      </c>
      <c r="E374" s="388" t="s">
        <v>4</v>
      </c>
      <c r="F374" s="388"/>
      <c r="G374" s="97">
        <v>63</v>
      </c>
      <c r="H374" s="98"/>
    </row>
    <row r="375" spans="1:8" x14ac:dyDescent="0.25">
      <c r="A375" s="1" t="s">
        <v>4</v>
      </c>
      <c r="B375" s="2" t="s">
        <v>4</v>
      </c>
      <c r="C375" s="2" t="s">
        <v>4</v>
      </c>
      <c r="D375" s="96" t="s">
        <v>1506</v>
      </c>
      <c r="E375" s="388" t="s">
        <v>4</v>
      </c>
      <c r="F375" s="388"/>
      <c r="G375" s="97">
        <v>33.9</v>
      </c>
      <c r="H375" s="79" t="s">
        <v>4</v>
      </c>
    </row>
    <row r="376" spans="1:8" x14ac:dyDescent="0.25">
      <c r="A376" s="1" t="s">
        <v>4</v>
      </c>
      <c r="B376" s="2" t="s">
        <v>4</v>
      </c>
      <c r="C376" s="2" t="s">
        <v>4</v>
      </c>
      <c r="D376" s="96" t="s">
        <v>1530</v>
      </c>
      <c r="E376" s="388" t="s">
        <v>4</v>
      </c>
      <c r="F376" s="388"/>
      <c r="G376" s="97">
        <v>3.04</v>
      </c>
      <c r="H376" s="79" t="s">
        <v>4</v>
      </c>
    </row>
    <row r="377" spans="1:8" x14ac:dyDescent="0.25">
      <c r="A377" s="1" t="s">
        <v>4</v>
      </c>
      <c r="B377" s="2" t="s">
        <v>4</v>
      </c>
      <c r="C377" s="2" t="s">
        <v>4</v>
      </c>
      <c r="D377" s="96" t="s">
        <v>1531</v>
      </c>
      <c r="E377" s="388" t="s">
        <v>4</v>
      </c>
      <c r="F377" s="388"/>
      <c r="G377" s="97">
        <v>16.25</v>
      </c>
      <c r="H377" s="79" t="s">
        <v>4</v>
      </c>
    </row>
    <row r="378" spans="1:8" x14ac:dyDescent="0.25">
      <c r="A378" s="1" t="s">
        <v>546</v>
      </c>
      <c r="B378" s="2" t="s">
        <v>89</v>
      </c>
      <c r="C378" s="2" t="s">
        <v>547</v>
      </c>
      <c r="D378" s="280" t="s">
        <v>548</v>
      </c>
      <c r="E378" s="280"/>
      <c r="F378" s="2" t="s">
        <v>249</v>
      </c>
      <c r="G378" s="37">
        <v>38.984999999999999</v>
      </c>
      <c r="H378" s="38">
        <v>0</v>
      </c>
    </row>
    <row r="379" spans="1:8" x14ac:dyDescent="0.25">
      <c r="A379" s="85"/>
      <c r="D379" s="96" t="s">
        <v>1506</v>
      </c>
      <c r="E379" s="388" t="s">
        <v>4</v>
      </c>
      <c r="F379" s="388"/>
      <c r="G379" s="97">
        <v>33.9</v>
      </c>
      <c r="H379" s="98"/>
    </row>
    <row r="380" spans="1:8" x14ac:dyDescent="0.25">
      <c r="A380" s="1" t="s">
        <v>4</v>
      </c>
      <c r="B380" s="2" t="s">
        <v>4</v>
      </c>
      <c r="C380" s="2" t="s">
        <v>4</v>
      </c>
      <c r="D380" s="96" t="s">
        <v>1538</v>
      </c>
      <c r="E380" s="388" t="s">
        <v>4</v>
      </c>
      <c r="F380" s="388"/>
      <c r="G380" s="97">
        <v>5.085</v>
      </c>
      <c r="H380" s="79" t="s">
        <v>4</v>
      </c>
    </row>
    <row r="381" spans="1:8" x14ac:dyDescent="0.25">
      <c r="A381" s="1" t="s">
        <v>549</v>
      </c>
      <c r="B381" s="2" t="s">
        <v>89</v>
      </c>
      <c r="C381" s="2" t="s">
        <v>550</v>
      </c>
      <c r="D381" s="280" t="s">
        <v>551</v>
      </c>
      <c r="E381" s="280"/>
      <c r="F381" s="2" t="s">
        <v>249</v>
      </c>
      <c r="G381" s="37">
        <v>94.633499999999998</v>
      </c>
      <c r="H381" s="38">
        <v>0</v>
      </c>
    </row>
    <row r="382" spans="1:8" x14ac:dyDescent="0.25">
      <c r="A382" s="85"/>
      <c r="D382" s="96" t="s">
        <v>125</v>
      </c>
      <c r="E382" s="388" t="s">
        <v>4</v>
      </c>
      <c r="F382" s="388"/>
      <c r="G382" s="97">
        <v>63</v>
      </c>
      <c r="H382" s="98"/>
    </row>
    <row r="383" spans="1:8" x14ac:dyDescent="0.25">
      <c r="A383" s="1" t="s">
        <v>4</v>
      </c>
      <c r="B383" s="2" t="s">
        <v>4</v>
      </c>
      <c r="C383" s="2" t="s">
        <v>4</v>
      </c>
      <c r="D383" s="96" t="s">
        <v>1530</v>
      </c>
      <c r="E383" s="388" t="s">
        <v>4</v>
      </c>
      <c r="F383" s="388"/>
      <c r="G383" s="97">
        <v>3.04</v>
      </c>
      <c r="H383" s="79" t="s">
        <v>4</v>
      </c>
    </row>
    <row r="384" spans="1:8" x14ac:dyDescent="0.25">
      <c r="A384" s="1" t="s">
        <v>4</v>
      </c>
      <c r="B384" s="2" t="s">
        <v>4</v>
      </c>
      <c r="C384" s="2" t="s">
        <v>4</v>
      </c>
      <c r="D384" s="96" t="s">
        <v>1531</v>
      </c>
      <c r="E384" s="388" t="s">
        <v>4</v>
      </c>
      <c r="F384" s="388"/>
      <c r="G384" s="97">
        <v>16.25</v>
      </c>
      <c r="H384" s="79" t="s">
        <v>4</v>
      </c>
    </row>
    <row r="385" spans="1:8" x14ac:dyDescent="0.25">
      <c r="A385" s="1" t="s">
        <v>4</v>
      </c>
      <c r="B385" s="2" t="s">
        <v>4</v>
      </c>
      <c r="C385" s="2" t="s">
        <v>4</v>
      </c>
      <c r="D385" s="96" t="s">
        <v>1539</v>
      </c>
      <c r="E385" s="388" t="s">
        <v>4</v>
      </c>
      <c r="F385" s="388"/>
      <c r="G385" s="97">
        <v>12.343500000000001</v>
      </c>
      <c r="H385" s="79" t="s">
        <v>4</v>
      </c>
    </row>
    <row r="386" spans="1:8" x14ac:dyDescent="0.25">
      <c r="A386" s="1" t="s">
        <v>552</v>
      </c>
      <c r="B386" s="2" t="s">
        <v>89</v>
      </c>
      <c r="C386" s="2" t="s">
        <v>553</v>
      </c>
      <c r="D386" s="280" t="s">
        <v>554</v>
      </c>
      <c r="E386" s="280"/>
      <c r="F386" s="2" t="s">
        <v>249</v>
      </c>
      <c r="G386" s="37">
        <v>139.428</v>
      </c>
      <c r="H386" s="38">
        <v>0</v>
      </c>
    </row>
    <row r="387" spans="1:8" x14ac:dyDescent="0.25">
      <c r="A387" s="85"/>
      <c r="D387" s="96" t="s">
        <v>1532</v>
      </c>
      <c r="E387" s="388" t="s">
        <v>4</v>
      </c>
      <c r="F387" s="388"/>
      <c r="G387" s="97">
        <v>75.599999999999994</v>
      </c>
      <c r="H387" s="98"/>
    </row>
    <row r="388" spans="1:8" x14ac:dyDescent="0.25">
      <c r="A388" s="1" t="s">
        <v>4</v>
      </c>
      <c r="B388" s="2" t="s">
        <v>4</v>
      </c>
      <c r="C388" s="2" t="s">
        <v>4</v>
      </c>
      <c r="D388" s="96" t="s">
        <v>1533</v>
      </c>
      <c r="E388" s="388" t="s">
        <v>4</v>
      </c>
      <c r="F388" s="388"/>
      <c r="G388" s="97">
        <v>40.68</v>
      </c>
      <c r="H388" s="79" t="s">
        <v>4</v>
      </c>
    </row>
    <row r="389" spans="1:8" x14ac:dyDescent="0.25">
      <c r="A389" s="1" t="s">
        <v>4</v>
      </c>
      <c r="B389" s="2" t="s">
        <v>4</v>
      </c>
      <c r="C389" s="2" t="s">
        <v>4</v>
      </c>
      <c r="D389" s="96" t="s">
        <v>1534</v>
      </c>
      <c r="E389" s="388" t="s">
        <v>4</v>
      </c>
      <c r="F389" s="388"/>
      <c r="G389" s="97">
        <v>3.6480000000000001</v>
      </c>
      <c r="H389" s="79" t="s">
        <v>4</v>
      </c>
    </row>
    <row r="390" spans="1:8" x14ac:dyDescent="0.25">
      <c r="A390" s="1" t="s">
        <v>4</v>
      </c>
      <c r="B390" s="2" t="s">
        <v>4</v>
      </c>
      <c r="C390" s="2" t="s">
        <v>4</v>
      </c>
      <c r="D390" s="96" t="s">
        <v>1535</v>
      </c>
      <c r="E390" s="388" t="s">
        <v>4</v>
      </c>
      <c r="F390" s="388"/>
      <c r="G390" s="97">
        <v>19.5</v>
      </c>
      <c r="H390" s="79" t="s">
        <v>4</v>
      </c>
    </row>
    <row r="391" spans="1:8" x14ac:dyDescent="0.25">
      <c r="A391" s="1" t="s">
        <v>555</v>
      </c>
      <c r="B391" s="2" t="s">
        <v>89</v>
      </c>
      <c r="C391" s="2" t="s">
        <v>556</v>
      </c>
      <c r="D391" s="280" t="s">
        <v>557</v>
      </c>
      <c r="E391" s="280"/>
      <c r="F391" s="2" t="s">
        <v>333</v>
      </c>
      <c r="G391" s="37">
        <v>52.5</v>
      </c>
      <c r="H391" s="38">
        <v>0</v>
      </c>
    </row>
    <row r="392" spans="1:8" x14ac:dyDescent="0.25">
      <c r="A392" s="85"/>
      <c r="D392" s="96" t="s">
        <v>1540</v>
      </c>
      <c r="E392" s="388" t="s">
        <v>4</v>
      </c>
      <c r="F392" s="388"/>
      <c r="G392" s="97">
        <v>52.5</v>
      </c>
      <c r="H392" s="98"/>
    </row>
    <row r="393" spans="1:8" x14ac:dyDescent="0.25">
      <c r="A393" s="1" t="s">
        <v>558</v>
      </c>
      <c r="B393" s="2" t="s">
        <v>89</v>
      </c>
      <c r="C393" s="2" t="s">
        <v>559</v>
      </c>
      <c r="D393" s="280" t="s">
        <v>560</v>
      </c>
      <c r="E393" s="280"/>
      <c r="F393" s="2" t="s">
        <v>249</v>
      </c>
      <c r="G393" s="37">
        <v>616.32000000000005</v>
      </c>
      <c r="H393" s="38">
        <v>0</v>
      </c>
    </row>
    <row r="394" spans="1:8" x14ac:dyDescent="0.25">
      <c r="A394" s="85"/>
      <c r="D394" s="96" t="s">
        <v>1541</v>
      </c>
      <c r="E394" s="388" t="s">
        <v>1440</v>
      </c>
      <c r="F394" s="388"/>
      <c r="G394" s="97">
        <v>419.16</v>
      </c>
      <c r="H394" s="98"/>
    </row>
    <row r="395" spans="1:8" x14ac:dyDescent="0.25">
      <c r="A395" s="1" t="s">
        <v>4</v>
      </c>
      <c r="B395" s="2" t="s">
        <v>4</v>
      </c>
      <c r="C395" s="2" t="s">
        <v>4</v>
      </c>
      <c r="D395" s="96" t="s">
        <v>1542</v>
      </c>
      <c r="E395" s="388" t="s">
        <v>1442</v>
      </c>
      <c r="F395" s="388"/>
      <c r="G395" s="97">
        <v>197.16</v>
      </c>
      <c r="H395" s="79" t="s">
        <v>4</v>
      </c>
    </row>
    <row r="396" spans="1:8" x14ac:dyDescent="0.25">
      <c r="A396" s="1" t="s">
        <v>561</v>
      </c>
      <c r="B396" s="2" t="s">
        <v>89</v>
      </c>
      <c r="C396" s="2" t="s">
        <v>562</v>
      </c>
      <c r="D396" s="280" t="s">
        <v>563</v>
      </c>
      <c r="E396" s="280"/>
      <c r="F396" s="2" t="s">
        <v>249</v>
      </c>
      <c r="G396" s="37">
        <v>665.62559999999996</v>
      </c>
      <c r="H396" s="38">
        <v>0</v>
      </c>
    </row>
    <row r="397" spans="1:8" x14ac:dyDescent="0.25">
      <c r="A397" s="85"/>
      <c r="D397" s="96" t="s">
        <v>1541</v>
      </c>
      <c r="E397" s="388" t="s">
        <v>1440</v>
      </c>
      <c r="F397" s="388"/>
      <c r="G397" s="97">
        <v>419.16</v>
      </c>
      <c r="H397" s="98"/>
    </row>
    <row r="398" spans="1:8" x14ac:dyDescent="0.25">
      <c r="A398" s="1" t="s">
        <v>4</v>
      </c>
      <c r="B398" s="2" t="s">
        <v>4</v>
      </c>
      <c r="C398" s="2" t="s">
        <v>4</v>
      </c>
      <c r="D398" s="96" t="s">
        <v>1542</v>
      </c>
      <c r="E398" s="388" t="s">
        <v>1442</v>
      </c>
      <c r="F398" s="388"/>
      <c r="G398" s="97">
        <v>197.16</v>
      </c>
      <c r="H398" s="79" t="s">
        <v>4</v>
      </c>
    </row>
    <row r="399" spans="1:8" x14ac:dyDescent="0.25">
      <c r="A399" s="1" t="s">
        <v>4</v>
      </c>
      <c r="B399" s="2" t="s">
        <v>4</v>
      </c>
      <c r="C399" s="2" t="s">
        <v>4</v>
      </c>
      <c r="D399" s="96" t="s">
        <v>1543</v>
      </c>
      <c r="E399" s="388" t="s">
        <v>4</v>
      </c>
      <c r="F399" s="388"/>
      <c r="G399" s="97">
        <v>49.305599999999998</v>
      </c>
      <c r="H399" s="79" t="s">
        <v>4</v>
      </c>
    </row>
    <row r="400" spans="1:8" x14ac:dyDescent="0.25">
      <c r="A400" s="1" t="s">
        <v>564</v>
      </c>
      <c r="B400" s="2" t="s">
        <v>89</v>
      </c>
      <c r="C400" s="2" t="s">
        <v>565</v>
      </c>
      <c r="D400" s="280" t="s">
        <v>566</v>
      </c>
      <c r="E400" s="280"/>
      <c r="F400" s="2" t="s">
        <v>249</v>
      </c>
      <c r="G400" s="37">
        <v>204.61199999999999</v>
      </c>
      <c r="H400" s="38">
        <v>0</v>
      </c>
    </row>
    <row r="401" spans="1:8" x14ac:dyDescent="0.25">
      <c r="A401" s="85"/>
      <c r="D401" s="96" t="s">
        <v>1544</v>
      </c>
      <c r="E401" s="388" t="s">
        <v>1440</v>
      </c>
      <c r="F401" s="388"/>
      <c r="G401" s="97">
        <v>125.748</v>
      </c>
      <c r="H401" s="98"/>
    </row>
    <row r="402" spans="1:8" x14ac:dyDescent="0.25">
      <c r="A402" s="1" t="s">
        <v>4</v>
      </c>
      <c r="B402" s="2" t="s">
        <v>4</v>
      </c>
      <c r="C402" s="2" t="s">
        <v>4</v>
      </c>
      <c r="D402" s="96" t="s">
        <v>1545</v>
      </c>
      <c r="E402" s="388" t="s">
        <v>1442</v>
      </c>
      <c r="F402" s="388"/>
      <c r="G402" s="97">
        <v>78.864000000000004</v>
      </c>
      <c r="H402" s="79" t="s">
        <v>4</v>
      </c>
    </row>
    <row r="403" spans="1:8" x14ac:dyDescent="0.25">
      <c r="A403" s="1" t="s">
        <v>567</v>
      </c>
      <c r="B403" s="2" t="s">
        <v>89</v>
      </c>
      <c r="C403" s="2" t="s">
        <v>568</v>
      </c>
      <c r="D403" s="280" t="s">
        <v>569</v>
      </c>
      <c r="E403" s="280"/>
      <c r="F403" s="2" t="s">
        <v>249</v>
      </c>
      <c r="G403" s="37">
        <v>7.3301999999999996</v>
      </c>
      <c r="H403" s="38">
        <v>0</v>
      </c>
    </row>
    <row r="404" spans="1:8" x14ac:dyDescent="0.25">
      <c r="A404" s="85"/>
      <c r="D404" s="96" t="s">
        <v>1546</v>
      </c>
      <c r="E404" s="388" t="s">
        <v>4</v>
      </c>
      <c r="F404" s="388"/>
      <c r="G404" s="97">
        <v>7.3301999999999996</v>
      </c>
      <c r="H404" s="98"/>
    </row>
    <row r="405" spans="1:8" x14ac:dyDescent="0.25">
      <c r="A405" s="1" t="s">
        <v>570</v>
      </c>
      <c r="B405" s="2" t="s">
        <v>89</v>
      </c>
      <c r="C405" s="2" t="s">
        <v>571</v>
      </c>
      <c r="D405" s="280" t="s">
        <v>572</v>
      </c>
      <c r="E405" s="280"/>
      <c r="F405" s="2" t="s">
        <v>63</v>
      </c>
      <c r="G405" s="37">
        <v>5899.5636999999997</v>
      </c>
      <c r="H405" s="38">
        <v>0</v>
      </c>
    </row>
    <row r="406" spans="1:8" x14ac:dyDescent="0.25">
      <c r="A406" s="85"/>
      <c r="D406" s="96" t="s">
        <v>1547</v>
      </c>
      <c r="E406" s="388" t="s">
        <v>4</v>
      </c>
      <c r="F406" s="388"/>
      <c r="G406" s="97">
        <v>5899.5636999999997</v>
      </c>
      <c r="H406" s="98"/>
    </row>
    <row r="407" spans="1:8" x14ac:dyDescent="0.25">
      <c r="A407" s="1" t="s">
        <v>573</v>
      </c>
      <c r="B407" s="2" t="s">
        <v>89</v>
      </c>
      <c r="C407" s="2" t="s">
        <v>574</v>
      </c>
      <c r="D407" s="280" t="s">
        <v>575</v>
      </c>
      <c r="E407" s="280"/>
      <c r="F407" s="2" t="s">
        <v>333</v>
      </c>
      <c r="G407" s="37">
        <v>22.1</v>
      </c>
      <c r="H407" s="38">
        <v>0</v>
      </c>
    </row>
    <row r="408" spans="1:8" x14ac:dyDescent="0.25">
      <c r="A408" s="85"/>
      <c r="D408" s="96" t="s">
        <v>1548</v>
      </c>
      <c r="E408" s="388" t="s">
        <v>4</v>
      </c>
      <c r="F408" s="388"/>
      <c r="G408" s="97">
        <v>22.1</v>
      </c>
      <c r="H408" s="98"/>
    </row>
    <row r="409" spans="1:8" x14ac:dyDescent="0.25">
      <c r="A409" s="1" t="s">
        <v>578</v>
      </c>
      <c r="B409" s="2" t="s">
        <v>89</v>
      </c>
      <c r="C409" s="2" t="s">
        <v>579</v>
      </c>
      <c r="D409" s="280" t="s">
        <v>580</v>
      </c>
      <c r="E409" s="280"/>
      <c r="F409" s="2" t="s">
        <v>329</v>
      </c>
      <c r="G409" s="37">
        <v>1</v>
      </c>
      <c r="H409" s="38">
        <v>0</v>
      </c>
    </row>
    <row r="410" spans="1:8" x14ac:dyDescent="0.25">
      <c r="A410" s="85"/>
      <c r="D410" s="96" t="s">
        <v>219</v>
      </c>
      <c r="E410" s="388" t="s">
        <v>4</v>
      </c>
      <c r="F410" s="388"/>
      <c r="G410" s="97">
        <v>1</v>
      </c>
      <c r="H410" s="98"/>
    </row>
    <row r="411" spans="1:8" x14ac:dyDescent="0.25">
      <c r="A411" s="1" t="s">
        <v>581</v>
      </c>
      <c r="B411" s="2" t="s">
        <v>89</v>
      </c>
      <c r="C411" s="2" t="s">
        <v>582</v>
      </c>
      <c r="D411" s="280" t="s">
        <v>583</v>
      </c>
      <c r="E411" s="280"/>
      <c r="F411" s="2" t="s">
        <v>329</v>
      </c>
      <c r="G411" s="37">
        <v>1</v>
      </c>
      <c r="H411" s="38">
        <v>0</v>
      </c>
    </row>
    <row r="412" spans="1:8" x14ac:dyDescent="0.25">
      <c r="A412" s="85"/>
      <c r="D412" s="96" t="s">
        <v>219</v>
      </c>
      <c r="E412" s="388" t="s">
        <v>4</v>
      </c>
      <c r="F412" s="388"/>
      <c r="G412" s="97">
        <v>1</v>
      </c>
      <c r="H412" s="98"/>
    </row>
    <row r="413" spans="1:8" x14ac:dyDescent="0.25">
      <c r="A413" s="1" t="s">
        <v>584</v>
      </c>
      <c r="B413" s="2" t="s">
        <v>89</v>
      </c>
      <c r="C413" s="2" t="s">
        <v>585</v>
      </c>
      <c r="D413" s="280" t="s">
        <v>586</v>
      </c>
      <c r="E413" s="280"/>
      <c r="F413" s="2" t="s">
        <v>329</v>
      </c>
      <c r="G413" s="37">
        <v>7</v>
      </c>
      <c r="H413" s="38">
        <v>0</v>
      </c>
    </row>
    <row r="414" spans="1:8" x14ac:dyDescent="0.25">
      <c r="A414" s="85"/>
      <c r="D414" s="96" t="s">
        <v>243</v>
      </c>
      <c r="E414" s="388" t="s">
        <v>4</v>
      </c>
      <c r="F414" s="388"/>
      <c r="G414" s="97">
        <v>7</v>
      </c>
      <c r="H414" s="98"/>
    </row>
    <row r="415" spans="1:8" x14ac:dyDescent="0.25">
      <c r="A415" s="1" t="s">
        <v>587</v>
      </c>
      <c r="B415" s="2" t="s">
        <v>89</v>
      </c>
      <c r="C415" s="2" t="s">
        <v>588</v>
      </c>
      <c r="D415" s="280" t="s">
        <v>589</v>
      </c>
      <c r="E415" s="280"/>
      <c r="F415" s="2" t="s">
        <v>329</v>
      </c>
      <c r="G415" s="37">
        <v>1</v>
      </c>
      <c r="H415" s="38">
        <v>0</v>
      </c>
    </row>
    <row r="416" spans="1:8" x14ac:dyDescent="0.25">
      <c r="A416" s="85"/>
      <c r="D416" s="96" t="s">
        <v>219</v>
      </c>
      <c r="E416" s="388" t="s">
        <v>4</v>
      </c>
      <c r="F416" s="388"/>
      <c r="G416" s="97">
        <v>1</v>
      </c>
      <c r="H416" s="98"/>
    </row>
    <row r="417" spans="1:8" x14ac:dyDescent="0.25">
      <c r="A417" s="1" t="s">
        <v>590</v>
      </c>
      <c r="B417" s="2" t="s">
        <v>89</v>
      </c>
      <c r="C417" s="2" t="s">
        <v>591</v>
      </c>
      <c r="D417" s="280" t="s">
        <v>592</v>
      </c>
      <c r="E417" s="280"/>
      <c r="F417" s="2" t="s">
        <v>333</v>
      </c>
      <c r="G417" s="37">
        <v>8.3000000000000007</v>
      </c>
      <c r="H417" s="38">
        <v>0</v>
      </c>
    </row>
    <row r="418" spans="1:8" x14ac:dyDescent="0.25">
      <c r="A418" s="85"/>
      <c r="D418" s="96" t="s">
        <v>1549</v>
      </c>
      <c r="E418" s="388" t="s">
        <v>4</v>
      </c>
      <c r="F418" s="388"/>
      <c r="G418" s="97">
        <v>5.7</v>
      </c>
      <c r="H418" s="98"/>
    </row>
    <row r="419" spans="1:8" x14ac:dyDescent="0.25">
      <c r="A419" s="1" t="s">
        <v>4</v>
      </c>
      <c r="B419" s="2" t="s">
        <v>4</v>
      </c>
      <c r="C419" s="2" t="s">
        <v>4</v>
      </c>
      <c r="D419" s="96" t="s">
        <v>1550</v>
      </c>
      <c r="E419" s="388" t="s">
        <v>4</v>
      </c>
      <c r="F419" s="388"/>
      <c r="G419" s="97">
        <v>2.6</v>
      </c>
      <c r="H419" s="79" t="s">
        <v>4</v>
      </c>
    </row>
    <row r="420" spans="1:8" x14ac:dyDescent="0.25">
      <c r="A420" s="1" t="s">
        <v>593</v>
      </c>
      <c r="B420" s="2" t="s">
        <v>89</v>
      </c>
      <c r="C420" s="2" t="s">
        <v>594</v>
      </c>
      <c r="D420" s="280" t="s">
        <v>595</v>
      </c>
      <c r="E420" s="280"/>
      <c r="F420" s="2" t="s">
        <v>329</v>
      </c>
      <c r="G420" s="37">
        <v>2</v>
      </c>
      <c r="H420" s="38">
        <v>0</v>
      </c>
    </row>
    <row r="421" spans="1:8" x14ac:dyDescent="0.25">
      <c r="A421" s="85"/>
      <c r="D421" s="96" t="s">
        <v>227</v>
      </c>
      <c r="E421" s="388" t="s">
        <v>4</v>
      </c>
      <c r="F421" s="388"/>
      <c r="G421" s="97">
        <v>2</v>
      </c>
      <c r="H421" s="98"/>
    </row>
    <row r="422" spans="1:8" x14ac:dyDescent="0.25">
      <c r="A422" s="1" t="s">
        <v>596</v>
      </c>
      <c r="B422" s="2" t="s">
        <v>89</v>
      </c>
      <c r="C422" s="2" t="s">
        <v>597</v>
      </c>
      <c r="D422" s="280" t="s">
        <v>598</v>
      </c>
      <c r="E422" s="280"/>
      <c r="F422" s="2" t="s">
        <v>329</v>
      </c>
      <c r="G422" s="37">
        <v>3</v>
      </c>
      <c r="H422" s="38">
        <v>0</v>
      </c>
    </row>
    <row r="423" spans="1:8" x14ac:dyDescent="0.25">
      <c r="A423" s="85"/>
      <c r="D423" s="96" t="s">
        <v>230</v>
      </c>
      <c r="E423" s="388" t="s">
        <v>4</v>
      </c>
      <c r="F423" s="388"/>
      <c r="G423" s="97">
        <v>3</v>
      </c>
      <c r="H423" s="98"/>
    </row>
    <row r="424" spans="1:8" x14ac:dyDescent="0.25">
      <c r="A424" s="1" t="s">
        <v>599</v>
      </c>
      <c r="B424" s="2" t="s">
        <v>89</v>
      </c>
      <c r="C424" s="2" t="s">
        <v>600</v>
      </c>
      <c r="D424" s="280" t="s">
        <v>601</v>
      </c>
      <c r="E424" s="280"/>
      <c r="F424" s="2" t="s">
        <v>329</v>
      </c>
      <c r="G424" s="37">
        <v>1</v>
      </c>
      <c r="H424" s="38">
        <v>0</v>
      </c>
    </row>
    <row r="425" spans="1:8" x14ac:dyDescent="0.25">
      <c r="A425" s="85"/>
      <c r="D425" s="96" t="s">
        <v>219</v>
      </c>
      <c r="E425" s="388" t="s">
        <v>4</v>
      </c>
      <c r="F425" s="388"/>
      <c r="G425" s="97">
        <v>1</v>
      </c>
      <c r="H425" s="98"/>
    </row>
    <row r="426" spans="1:8" x14ac:dyDescent="0.25">
      <c r="A426" s="1" t="s">
        <v>602</v>
      </c>
      <c r="B426" s="2" t="s">
        <v>89</v>
      </c>
      <c r="C426" s="2" t="s">
        <v>603</v>
      </c>
      <c r="D426" s="280" t="s">
        <v>604</v>
      </c>
      <c r="E426" s="280"/>
      <c r="F426" s="2" t="s">
        <v>329</v>
      </c>
      <c r="G426" s="37">
        <v>1</v>
      </c>
      <c r="H426" s="38">
        <v>0</v>
      </c>
    </row>
    <row r="427" spans="1:8" x14ac:dyDescent="0.25">
      <c r="A427" s="85"/>
      <c r="D427" s="96" t="s">
        <v>219</v>
      </c>
      <c r="E427" s="388" t="s">
        <v>4</v>
      </c>
      <c r="F427" s="388"/>
      <c r="G427" s="97">
        <v>1</v>
      </c>
      <c r="H427" s="98"/>
    </row>
    <row r="428" spans="1:8" x14ac:dyDescent="0.25">
      <c r="A428" s="1" t="s">
        <v>605</v>
      </c>
      <c r="B428" s="2" t="s">
        <v>89</v>
      </c>
      <c r="C428" s="2" t="s">
        <v>606</v>
      </c>
      <c r="D428" s="280" t="s">
        <v>607</v>
      </c>
      <c r="E428" s="280"/>
      <c r="F428" s="2" t="s">
        <v>329</v>
      </c>
      <c r="G428" s="37">
        <v>1</v>
      </c>
      <c r="H428" s="38">
        <v>0</v>
      </c>
    </row>
    <row r="429" spans="1:8" x14ac:dyDescent="0.25">
      <c r="A429" s="85"/>
      <c r="D429" s="96" t="s">
        <v>219</v>
      </c>
      <c r="E429" s="388" t="s">
        <v>4</v>
      </c>
      <c r="F429" s="388"/>
      <c r="G429" s="97">
        <v>1</v>
      </c>
      <c r="H429" s="98"/>
    </row>
    <row r="430" spans="1:8" x14ac:dyDescent="0.25">
      <c r="A430" s="1" t="s">
        <v>608</v>
      </c>
      <c r="B430" s="2" t="s">
        <v>89</v>
      </c>
      <c r="C430" s="2" t="s">
        <v>609</v>
      </c>
      <c r="D430" s="280" t="s">
        <v>610</v>
      </c>
      <c r="E430" s="280"/>
      <c r="F430" s="2" t="s">
        <v>333</v>
      </c>
      <c r="G430" s="37">
        <v>5.8</v>
      </c>
      <c r="H430" s="38">
        <v>0</v>
      </c>
    </row>
    <row r="431" spans="1:8" x14ac:dyDescent="0.25">
      <c r="A431" s="85"/>
      <c r="D431" s="96" t="s">
        <v>1551</v>
      </c>
      <c r="E431" s="388" t="s">
        <v>4</v>
      </c>
      <c r="F431" s="388"/>
      <c r="G431" s="97">
        <v>3.2</v>
      </c>
      <c r="H431" s="98"/>
    </row>
    <row r="432" spans="1:8" x14ac:dyDescent="0.25">
      <c r="A432" s="1" t="s">
        <v>4</v>
      </c>
      <c r="B432" s="2" t="s">
        <v>4</v>
      </c>
      <c r="C432" s="2" t="s">
        <v>4</v>
      </c>
      <c r="D432" s="96" t="s">
        <v>1552</v>
      </c>
      <c r="E432" s="388" t="s">
        <v>4</v>
      </c>
      <c r="F432" s="388"/>
      <c r="G432" s="97">
        <v>2.2000000000000002</v>
      </c>
      <c r="H432" s="79" t="s">
        <v>4</v>
      </c>
    </row>
    <row r="433" spans="1:8" x14ac:dyDescent="0.25">
      <c r="A433" s="1" t="s">
        <v>4</v>
      </c>
      <c r="B433" s="2" t="s">
        <v>4</v>
      </c>
      <c r="C433" s="2" t="s">
        <v>4</v>
      </c>
      <c r="D433" s="96" t="s">
        <v>1553</v>
      </c>
      <c r="E433" s="388" t="s">
        <v>4</v>
      </c>
      <c r="F433" s="388"/>
      <c r="G433" s="97">
        <v>0.4</v>
      </c>
      <c r="H433" s="79" t="s">
        <v>4</v>
      </c>
    </row>
    <row r="434" spans="1:8" x14ac:dyDescent="0.25">
      <c r="A434" s="1" t="s">
        <v>611</v>
      </c>
      <c r="B434" s="2" t="s">
        <v>89</v>
      </c>
      <c r="C434" s="2" t="s">
        <v>612</v>
      </c>
      <c r="D434" s="280" t="s">
        <v>613</v>
      </c>
      <c r="E434" s="280"/>
      <c r="F434" s="2" t="s">
        <v>333</v>
      </c>
      <c r="G434" s="37">
        <v>13.46</v>
      </c>
      <c r="H434" s="38">
        <v>0</v>
      </c>
    </row>
    <row r="435" spans="1:8" x14ac:dyDescent="0.25">
      <c r="A435" s="85"/>
      <c r="D435" s="96" t="s">
        <v>1554</v>
      </c>
      <c r="E435" s="388" t="s">
        <v>4</v>
      </c>
      <c r="F435" s="388"/>
      <c r="G435" s="97">
        <v>5</v>
      </c>
      <c r="H435" s="98"/>
    </row>
    <row r="436" spans="1:8" x14ac:dyDescent="0.25">
      <c r="A436" s="1" t="s">
        <v>4</v>
      </c>
      <c r="B436" s="2" t="s">
        <v>4</v>
      </c>
      <c r="C436" s="2" t="s">
        <v>4</v>
      </c>
      <c r="D436" s="96" t="s">
        <v>1555</v>
      </c>
      <c r="E436" s="388" t="s">
        <v>4</v>
      </c>
      <c r="F436" s="388"/>
      <c r="G436" s="97">
        <v>8.4600000000000009</v>
      </c>
      <c r="H436" s="79" t="s">
        <v>4</v>
      </c>
    </row>
    <row r="437" spans="1:8" x14ac:dyDescent="0.25">
      <c r="A437" s="1" t="s">
        <v>614</v>
      </c>
      <c r="B437" s="2" t="s">
        <v>89</v>
      </c>
      <c r="C437" s="2" t="s">
        <v>603</v>
      </c>
      <c r="D437" s="280" t="s">
        <v>604</v>
      </c>
      <c r="E437" s="280"/>
      <c r="F437" s="2" t="s">
        <v>329</v>
      </c>
      <c r="G437" s="37">
        <v>13.46</v>
      </c>
      <c r="H437" s="38">
        <v>0</v>
      </c>
    </row>
    <row r="438" spans="1:8" x14ac:dyDescent="0.25">
      <c r="A438" s="85"/>
      <c r="D438" s="96" t="s">
        <v>237</v>
      </c>
      <c r="E438" s="388" t="s">
        <v>4</v>
      </c>
      <c r="F438" s="388"/>
      <c r="G438" s="97">
        <v>5</v>
      </c>
      <c r="H438" s="98"/>
    </row>
    <row r="439" spans="1:8" x14ac:dyDescent="0.25">
      <c r="A439" s="1" t="s">
        <v>615</v>
      </c>
      <c r="B439" s="2" t="s">
        <v>89</v>
      </c>
      <c r="C439" s="2" t="s">
        <v>616</v>
      </c>
      <c r="D439" s="280" t="s">
        <v>617</v>
      </c>
      <c r="E439" s="280"/>
      <c r="F439" s="2" t="s">
        <v>329</v>
      </c>
      <c r="G439" s="37">
        <v>1</v>
      </c>
      <c r="H439" s="38">
        <v>0</v>
      </c>
    </row>
    <row r="440" spans="1:8" x14ac:dyDescent="0.25">
      <c r="A440" s="85"/>
      <c r="D440" s="96" t="s">
        <v>219</v>
      </c>
      <c r="E440" s="388" t="s">
        <v>4</v>
      </c>
      <c r="F440" s="388"/>
      <c r="G440" s="97">
        <v>1</v>
      </c>
      <c r="H440" s="98"/>
    </row>
    <row r="441" spans="1:8" x14ac:dyDescent="0.25">
      <c r="A441" s="1" t="s">
        <v>618</v>
      </c>
      <c r="B441" s="2" t="s">
        <v>89</v>
      </c>
      <c r="C441" s="2" t="s">
        <v>619</v>
      </c>
      <c r="D441" s="280" t="s">
        <v>620</v>
      </c>
      <c r="E441" s="280"/>
      <c r="F441" s="2" t="s">
        <v>333</v>
      </c>
      <c r="G441" s="37">
        <v>49.66</v>
      </c>
      <c r="H441" s="38">
        <v>0</v>
      </c>
    </row>
    <row r="442" spans="1:8" x14ac:dyDescent="0.25">
      <c r="A442" s="85"/>
      <c r="D442" s="96" t="s">
        <v>1556</v>
      </c>
      <c r="E442" s="388" t="s">
        <v>4</v>
      </c>
      <c r="F442" s="388"/>
      <c r="G442" s="97">
        <v>49.66</v>
      </c>
      <c r="H442" s="98"/>
    </row>
    <row r="443" spans="1:8" x14ac:dyDescent="0.25">
      <c r="A443" s="1" t="s">
        <v>621</v>
      </c>
      <c r="B443" s="2" t="s">
        <v>89</v>
      </c>
      <c r="C443" s="2" t="s">
        <v>622</v>
      </c>
      <c r="D443" s="280" t="s">
        <v>623</v>
      </c>
      <c r="E443" s="280"/>
      <c r="F443" s="2" t="s">
        <v>329</v>
      </c>
      <c r="G443" s="37">
        <v>1</v>
      </c>
      <c r="H443" s="38">
        <v>0</v>
      </c>
    </row>
    <row r="444" spans="1:8" x14ac:dyDescent="0.25">
      <c r="A444" s="85"/>
      <c r="D444" s="96" t="s">
        <v>219</v>
      </c>
      <c r="E444" s="388" t="s">
        <v>4</v>
      </c>
      <c r="F444" s="388"/>
      <c r="G444" s="97">
        <v>1</v>
      </c>
      <c r="H444" s="98"/>
    </row>
    <row r="445" spans="1:8" x14ac:dyDescent="0.25">
      <c r="A445" s="1" t="s">
        <v>624</v>
      </c>
      <c r="B445" s="2" t="s">
        <v>89</v>
      </c>
      <c r="C445" s="2" t="s">
        <v>625</v>
      </c>
      <c r="D445" s="280" t="s">
        <v>626</v>
      </c>
      <c r="E445" s="280"/>
      <c r="F445" s="2" t="s">
        <v>333</v>
      </c>
      <c r="G445" s="37">
        <v>1.5</v>
      </c>
      <c r="H445" s="38">
        <v>0</v>
      </c>
    </row>
    <row r="446" spans="1:8" x14ac:dyDescent="0.25">
      <c r="A446" s="85"/>
      <c r="D446" s="96" t="s">
        <v>1526</v>
      </c>
      <c r="E446" s="388" t="s">
        <v>4</v>
      </c>
      <c r="F446" s="388"/>
      <c r="G446" s="97">
        <v>1.5</v>
      </c>
      <c r="H446" s="98"/>
    </row>
    <row r="447" spans="1:8" x14ac:dyDescent="0.25">
      <c r="A447" s="1" t="s">
        <v>627</v>
      </c>
      <c r="B447" s="2" t="s">
        <v>89</v>
      </c>
      <c r="C447" s="2" t="s">
        <v>628</v>
      </c>
      <c r="D447" s="280" t="s">
        <v>629</v>
      </c>
      <c r="E447" s="280"/>
      <c r="F447" s="2" t="s">
        <v>63</v>
      </c>
      <c r="G447" s="37">
        <v>565.18430000000001</v>
      </c>
      <c r="H447" s="38">
        <v>0</v>
      </c>
    </row>
    <row r="448" spans="1:8" x14ac:dyDescent="0.25">
      <c r="A448" s="85"/>
      <c r="D448" s="96" t="s">
        <v>1557</v>
      </c>
      <c r="E448" s="388" t="s">
        <v>4</v>
      </c>
      <c r="F448" s="388"/>
      <c r="G448" s="97">
        <v>565.18430000000001</v>
      </c>
      <c r="H448" s="98"/>
    </row>
    <row r="449" spans="1:8" x14ac:dyDescent="0.25">
      <c r="A449" s="1" t="s">
        <v>630</v>
      </c>
      <c r="B449" s="2" t="s">
        <v>89</v>
      </c>
      <c r="C449" s="2" t="s">
        <v>631</v>
      </c>
      <c r="D449" s="280" t="s">
        <v>632</v>
      </c>
      <c r="E449" s="280"/>
      <c r="F449" s="2" t="s">
        <v>333</v>
      </c>
      <c r="G449" s="37">
        <v>3.1</v>
      </c>
      <c r="H449" s="38">
        <v>0</v>
      </c>
    </row>
    <row r="450" spans="1:8" x14ac:dyDescent="0.25">
      <c r="A450" s="85"/>
      <c r="D450" s="96" t="s">
        <v>1558</v>
      </c>
      <c r="E450" s="388" t="s">
        <v>4</v>
      </c>
      <c r="F450" s="388"/>
      <c r="G450" s="97">
        <v>3.1</v>
      </c>
      <c r="H450" s="98"/>
    </row>
    <row r="451" spans="1:8" x14ac:dyDescent="0.25">
      <c r="A451" s="1" t="s">
        <v>634</v>
      </c>
      <c r="B451" s="2" t="s">
        <v>89</v>
      </c>
      <c r="C451" s="2" t="s">
        <v>635</v>
      </c>
      <c r="D451" s="280" t="s">
        <v>636</v>
      </c>
      <c r="E451" s="280"/>
      <c r="F451" s="2" t="s">
        <v>333</v>
      </c>
      <c r="G451" s="37">
        <v>73</v>
      </c>
      <c r="H451" s="38">
        <v>0</v>
      </c>
    </row>
    <row r="452" spans="1:8" x14ac:dyDescent="0.25">
      <c r="A452" s="85"/>
      <c r="D452" s="96" t="s">
        <v>1559</v>
      </c>
      <c r="E452" s="388" t="s">
        <v>4</v>
      </c>
      <c r="F452" s="388"/>
      <c r="G452" s="97">
        <v>73</v>
      </c>
      <c r="H452" s="98"/>
    </row>
    <row r="453" spans="1:8" x14ac:dyDescent="0.25">
      <c r="A453" s="1" t="s">
        <v>637</v>
      </c>
      <c r="B453" s="2" t="s">
        <v>89</v>
      </c>
      <c r="C453" s="2" t="s">
        <v>638</v>
      </c>
      <c r="D453" s="280" t="s">
        <v>639</v>
      </c>
      <c r="E453" s="280"/>
      <c r="F453" s="2" t="s">
        <v>329</v>
      </c>
      <c r="G453" s="37">
        <v>1</v>
      </c>
      <c r="H453" s="38">
        <v>0</v>
      </c>
    </row>
    <row r="454" spans="1:8" x14ac:dyDescent="0.25">
      <c r="A454" s="85"/>
      <c r="D454" s="96" t="s">
        <v>219</v>
      </c>
      <c r="E454" s="388" t="s">
        <v>4</v>
      </c>
      <c r="F454" s="388"/>
      <c r="G454" s="97">
        <v>1</v>
      </c>
      <c r="H454" s="98"/>
    </row>
    <row r="455" spans="1:8" x14ac:dyDescent="0.25">
      <c r="A455" s="1" t="s">
        <v>640</v>
      </c>
      <c r="B455" s="2" t="s">
        <v>89</v>
      </c>
      <c r="C455" s="2" t="s">
        <v>641</v>
      </c>
      <c r="D455" s="280" t="s">
        <v>642</v>
      </c>
      <c r="E455" s="280"/>
      <c r="F455" s="2" t="s">
        <v>643</v>
      </c>
      <c r="G455" s="37">
        <v>1</v>
      </c>
      <c r="H455" s="38">
        <v>0</v>
      </c>
    </row>
    <row r="456" spans="1:8" x14ac:dyDescent="0.25">
      <c r="A456" s="85"/>
      <c r="D456" s="96" t="s">
        <v>219</v>
      </c>
      <c r="E456" s="388" t="s">
        <v>4</v>
      </c>
      <c r="F456" s="388"/>
      <c r="G456" s="97">
        <v>1</v>
      </c>
      <c r="H456" s="98"/>
    </row>
    <row r="457" spans="1:8" x14ac:dyDescent="0.25">
      <c r="A457" s="1" t="s">
        <v>644</v>
      </c>
      <c r="B457" s="2" t="s">
        <v>89</v>
      </c>
      <c r="C457" s="2" t="s">
        <v>645</v>
      </c>
      <c r="D457" s="280" t="s">
        <v>646</v>
      </c>
      <c r="E457" s="280"/>
      <c r="F457" s="2" t="s">
        <v>329</v>
      </c>
      <c r="G457" s="37">
        <v>1</v>
      </c>
      <c r="H457" s="38">
        <v>0</v>
      </c>
    </row>
    <row r="458" spans="1:8" x14ac:dyDescent="0.25">
      <c r="A458" s="85"/>
      <c r="D458" s="96" t="s">
        <v>219</v>
      </c>
      <c r="E458" s="388" t="s">
        <v>4</v>
      </c>
      <c r="F458" s="388"/>
      <c r="G458" s="97">
        <v>1</v>
      </c>
      <c r="H458" s="98"/>
    </row>
    <row r="459" spans="1:8" x14ac:dyDescent="0.25">
      <c r="A459" s="1" t="s">
        <v>647</v>
      </c>
      <c r="B459" s="2" t="s">
        <v>89</v>
      </c>
      <c r="C459" s="2" t="s">
        <v>648</v>
      </c>
      <c r="D459" s="280" t="s">
        <v>649</v>
      </c>
      <c r="E459" s="280"/>
      <c r="F459" s="2" t="s">
        <v>333</v>
      </c>
      <c r="G459" s="37">
        <v>3.1</v>
      </c>
      <c r="H459" s="38">
        <v>0</v>
      </c>
    </row>
    <row r="460" spans="1:8" x14ac:dyDescent="0.25">
      <c r="A460" s="85"/>
      <c r="D460" s="96" t="s">
        <v>1560</v>
      </c>
      <c r="E460" s="388" t="s">
        <v>4</v>
      </c>
      <c r="F460" s="388"/>
      <c r="G460" s="97">
        <v>3.1</v>
      </c>
      <c r="H460" s="98"/>
    </row>
    <row r="461" spans="1:8" x14ac:dyDescent="0.25">
      <c r="A461" s="1" t="s">
        <v>650</v>
      </c>
      <c r="B461" s="2" t="s">
        <v>89</v>
      </c>
      <c r="C461" s="2" t="s">
        <v>651</v>
      </c>
      <c r="D461" s="280" t="s">
        <v>652</v>
      </c>
      <c r="E461" s="280"/>
      <c r="F461" s="2" t="s">
        <v>333</v>
      </c>
      <c r="G461" s="37">
        <v>73</v>
      </c>
      <c r="H461" s="38">
        <v>0</v>
      </c>
    </row>
    <row r="462" spans="1:8" x14ac:dyDescent="0.25">
      <c r="A462" s="85"/>
      <c r="D462" s="96" t="s">
        <v>141</v>
      </c>
      <c r="E462" s="388" t="s">
        <v>4</v>
      </c>
      <c r="F462" s="388"/>
      <c r="G462" s="97">
        <v>73</v>
      </c>
      <c r="H462" s="98"/>
    </row>
    <row r="463" spans="1:8" x14ac:dyDescent="0.25">
      <c r="A463" s="1" t="s">
        <v>653</v>
      </c>
      <c r="B463" s="2" t="s">
        <v>89</v>
      </c>
      <c r="C463" s="2" t="s">
        <v>654</v>
      </c>
      <c r="D463" s="280" t="s">
        <v>655</v>
      </c>
      <c r="E463" s="280"/>
      <c r="F463" s="2" t="s">
        <v>333</v>
      </c>
      <c r="G463" s="37">
        <v>76.099999999999994</v>
      </c>
      <c r="H463" s="38">
        <v>0</v>
      </c>
    </row>
    <row r="464" spans="1:8" x14ac:dyDescent="0.25">
      <c r="A464" s="85"/>
      <c r="D464" s="96" t="s">
        <v>1561</v>
      </c>
      <c r="E464" s="388" t="s">
        <v>4</v>
      </c>
      <c r="F464" s="388"/>
      <c r="G464" s="97">
        <v>76.099999999999994</v>
      </c>
      <c r="H464" s="98"/>
    </row>
    <row r="465" spans="1:8" x14ac:dyDescent="0.25">
      <c r="A465" s="1" t="s">
        <v>656</v>
      </c>
      <c r="B465" s="2" t="s">
        <v>89</v>
      </c>
      <c r="C465" s="2" t="s">
        <v>657</v>
      </c>
      <c r="D465" s="280" t="s">
        <v>658</v>
      </c>
      <c r="E465" s="280"/>
      <c r="F465" s="2" t="s">
        <v>643</v>
      </c>
      <c r="G465" s="37">
        <v>2</v>
      </c>
      <c r="H465" s="38">
        <v>0</v>
      </c>
    </row>
    <row r="466" spans="1:8" x14ac:dyDescent="0.25">
      <c r="A466" s="85"/>
      <c r="D466" s="96" t="s">
        <v>227</v>
      </c>
      <c r="E466" s="388" t="s">
        <v>4</v>
      </c>
      <c r="F466" s="388"/>
      <c r="G466" s="97">
        <v>2</v>
      </c>
      <c r="H466" s="98"/>
    </row>
    <row r="467" spans="1:8" x14ac:dyDescent="0.25">
      <c r="A467" s="1" t="s">
        <v>660</v>
      </c>
      <c r="B467" s="2" t="s">
        <v>89</v>
      </c>
      <c r="C467" s="2" t="s">
        <v>661</v>
      </c>
      <c r="D467" s="280" t="s">
        <v>662</v>
      </c>
      <c r="E467" s="280"/>
      <c r="F467" s="2" t="s">
        <v>643</v>
      </c>
      <c r="G467" s="37">
        <v>1</v>
      </c>
      <c r="H467" s="38">
        <v>0</v>
      </c>
    </row>
    <row r="468" spans="1:8" x14ac:dyDescent="0.25">
      <c r="A468" s="85"/>
      <c r="D468" s="96" t="s">
        <v>219</v>
      </c>
      <c r="E468" s="388" t="s">
        <v>4</v>
      </c>
      <c r="F468" s="388"/>
      <c r="G468" s="97">
        <v>1</v>
      </c>
      <c r="H468" s="98"/>
    </row>
    <row r="469" spans="1:8" x14ac:dyDescent="0.25">
      <c r="A469" s="1" t="s">
        <v>663</v>
      </c>
      <c r="B469" s="2" t="s">
        <v>89</v>
      </c>
      <c r="C469" s="2" t="s">
        <v>664</v>
      </c>
      <c r="D469" s="280" t="s">
        <v>665</v>
      </c>
      <c r="E469" s="280"/>
      <c r="F469" s="2" t="s">
        <v>643</v>
      </c>
      <c r="G469" s="37">
        <v>3</v>
      </c>
      <c r="H469" s="38">
        <v>0</v>
      </c>
    </row>
    <row r="470" spans="1:8" x14ac:dyDescent="0.25">
      <c r="A470" s="85"/>
      <c r="D470" s="96" t="s">
        <v>227</v>
      </c>
      <c r="E470" s="388" t="s">
        <v>4</v>
      </c>
      <c r="F470" s="388"/>
      <c r="G470" s="97">
        <v>2</v>
      </c>
      <c r="H470" s="98"/>
    </row>
    <row r="471" spans="1:8" x14ac:dyDescent="0.25">
      <c r="A471" s="1" t="s">
        <v>4</v>
      </c>
      <c r="B471" s="2" t="s">
        <v>4</v>
      </c>
      <c r="C471" s="2" t="s">
        <v>4</v>
      </c>
      <c r="D471" s="96" t="s">
        <v>219</v>
      </c>
      <c r="E471" s="388" t="s">
        <v>4</v>
      </c>
      <c r="F471" s="388"/>
      <c r="G471" s="97">
        <v>1</v>
      </c>
      <c r="H471" s="79" t="s">
        <v>4</v>
      </c>
    </row>
    <row r="472" spans="1:8" x14ac:dyDescent="0.25">
      <c r="A472" s="1" t="s">
        <v>666</v>
      </c>
      <c r="B472" s="2" t="s">
        <v>89</v>
      </c>
      <c r="C472" s="2" t="s">
        <v>667</v>
      </c>
      <c r="D472" s="280" t="s">
        <v>668</v>
      </c>
      <c r="E472" s="280"/>
      <c r="F472" s="2" t="s">
        <v>643</v>
      </c>
      <c r="G472" s="37">
        <v>2</v>
      </c>
      <c r="H472" s="38">
        <v>0</v>
      </c>
    </row>
    <row r="473" spans="1:8" x14ac:dyDescent="0.25">
      <c r="A473" s="85"/>
      <c r="D473" s="96" t="s">
        <v>227</v>
      </c>
      <c r="E473" s="388" t="s">
        <v>4</v>
      </c>
      <c r="F473" s="388"/>
      <c r="G473" s="97">
        <v>2</v>
      </c>
      <c r="H473" s="98"/>
    </row>
    <row r="474" spans="1:8" x14ac:dyDescent="0.25">
      <c r="A474" s="1" t="s">
        <v>669</v>
      </c>
      <c r="B474" s="2" t="s">
        <v>89</v>
      </c>
      <c r="C474" s="2" t="s">
        <v>670</v>
      </c>
      <c r="D474" s="280" t="s">
        <v>671</v>
      </c>
      <c r="E474" s="280"/>
      <c r="F474" s="2" t="s">
        <v>643</v>
      </c>
      <c r="G474" s="37">
        <v>1</v>
      </c>
      <c r="H474" s="38">
        <v>0</v>
      </c>
    </row>
    <row r="475" spans="1:8" x14ac:dyDescent="0.25">
      <c r="A475" s="85"/>
      <c r="D475" s="96" t="s">
        <v>219</v>
      </c>
      <c r="E475" s="388" t="s">
        <v>4</v>
      </c>
      <c r="F475" s="388"/>
      <c r="G475" s="97">
        <v>1</v>
      </c>
      <c r="H475" s="98"/>
    </row>
    <row r="476" spans="1:8" x14ac:dyDescent="0.25">
      <c r="A476" s="1" t="s">
        <v>672</v>
      </c>
      <c r="B476" s="2" t="s">
        <v>89</v>
      </c>
      <c r="C476" s="2" t="s">
        <v>673</v>
      </c>
      <c r="D476" s="280" t="s">
        <v>674</v>
      </c>
      <c r="E476" s="280"/>
      <c r="F476" s="2" t="s">
        <v>329</v>
      </c>
      <c r="G476" s="37">
        <v>2</v>
      </c>
      <c r="H476" s="38">
        <v>0</v>
      </c>
    </row>
    <row r="477" spans="1:8" x14ac:dyDescent="0.25">
      <c r="A477" s="85"/>
      <c r="D477" s="96" t="s">
        <v>227</v>
      </c>
      <c r="E477" s="388" t="s">
        <v>4</v>
      </c>
      <c r="F477" s="388"/>
      <c r="G477" s="97">
        <v>2</v>
      </c>
      <c r="H477" s="98"/>
    </row>
    <row r="478" spans="1:8" x14ac:dyDescent="0.25">
      <c r="A478" s="1" t="s">
        <v>675</v>
      </c>
      <c r="B478" s="2" t="s">
        <v>89</v>
      </c>
      <c r="C478" s="2" t="s">
        <v>676</v>
      </c>
      <c r="D478" s="280" t="s">
        <v>677</v>
      </c>
      <c r="E478" s="280"/>
      <c r="F478" s="2" t="s">
        <v>329</v>
      </c>
      <c r="G478" s="37">
        <v>1</v>
      </c>
      <c r="H478" s="38">
        <v>0</v>
      </c>
    </row>
    <row r="479" spans="1:8" x14ac:dyDescent="0.25">
      <c r="A479" s="85"/>
      <c r="D479" s="96" t="s">
        <v>219</v>
      </c>
      <c r="E479" s="388" t="s">
        <v>4</v>
      </c>
      <c r="F479" s="388"/>
      <c r="G479" s="97">
        <v>1</v>
      </c>
      <c r="H479" s="98"/>
    </row>
    <row r="480" spans="1:8" x14ac:dyDescent="0.25">
      <c r="A480" s="1" t="s">
        <v>678</v>
      </c>
      <c r="B480" s="2" t="s">
        <v>89</v>
      </c>
      <c r="C480" s="2" t="s">
        <v>679</v>
      </c>
      <c r="D480" s="280" t="s">
        <v>680</v>
      </c>
      <c r="E480" s="280"/>
      <c r="F480" s="2" t="s">
        <v>329</v>
      </c>
      <c r="G480" s="37">
        <v>3</v>
      </c>
      <c r="H480" s="38">
        <v>0</v>
      </c>
    </row>
    <row r="481" spans="1:8" x14ac:dyDescent="0.25">
      <c r="A481" s="85"/>
      <c r="D481" s="96" t="s">
        <v>227</v>
      </c>
      <c r="E481" s="388" t="s">
        <v>4</v>
      </c>
      <c r="F481" s="388"/>
      <c r="G481" s="97">
        <v>2</v>
      </c>
      <c r="H481" s="98"/>
    </row>
    <row r="482" spans="1:8" x14ac:dyDescent="0.25">
      <c r="A482" s="1" t="s">
        <v>4</v>
      </c>
      <c r="B482" s="2" t="s">
        <v>4</v>
      </c>
      <c r="C482" s="2" t="s">
        <v>4</v>
      </c>
      <c r="D482" s="96" t="s">
        <v>219</v>
      </c>
      <c r="E482" s="388" t="s">
        <v>4</v>
      </c>
      <c r="F482" s="388"/>
      <c r="G482" s="97">
        <v>1</v>
      </c>
      <c r="H482" s="79" t="s">
        <v>4</v>
      </c>
    </row>
    <row r="483" spans="1:8" x14ac:dyDescent="0.25">
      <c r="A483" s="1" t="s">
        <v>681</v>
      </c>
      <c r="B483" s="2" t="s">
        <v>89</v>
      </c>
      <c r="C483" s="2" t="s">
        <v>682</v>
      </c>
      <c r="D483" s="280" t="s">
        <v>683</v>
      </c>
      <c r="E483" s="280"/>
      <c r="F483" s="2" t="s">
        <v>643</v>
      </c>
      <c r="G483" s="37">
        <v>3</v>
      </c>
      <c r="H483" s="38">
        <v>0</v>
      </c>
    </row>
    <row r="484" spans="1:8" x14ac:dyDescent="0.25">
      <c r="A484" s="85"/>
      <c r="D484" s="96" t="s">
        <v>227</v>
      </c>
      <c r="E484" s="388" t="s">
        <v>4</v>
      </c>
      <c r="F484" s="388"/>
      <c r="G484" s="97">
        <v>2</v>
      </c>
      <c r="H484" s="98"/>
    </row>
    <row r="485" spans="1:8" x14ac:dyDescent="0.25">
      <c r="A485" s="1" t="s">
        <v>4</v>
      </c>
      <c r="B485" s="2" t="s">
        <v>4</v>
      </c>
      <c r="C485" s="2" t="s">
        <v>4</v>
      </c>
      <c r="D485" s="96" t="s">
        <v>219</v>
      </c>
      <c r="E485" s="388" t="s">
        <v>4</v>
      </c>
      <c r="F485" s="388"/>
      <c r="G485" s="97">
        <v>1</v>
      </c>
      <c r="H485" s="79" t="s">
        <v>4</v>
      </c>
    </row>
    <row r="486" spans="1:8" x14ac:dyDescent="0.25">
      <c r="A486" s="1" t="s">
        <v>684</v>
      </c>
      <c r="B486" s="2" t="s">
        <v>89</v>
      </c>
      <c r="C486" s="2" t="s">
        <v>685</v>
      </c>
      <c r="D486" s="280" t="s">
        <v>686</v>
      </c>
      <c r="E486" s="280"/>
      <c r="F486" s="2" t="s">
        <v>643</v>
      </c>
      <c r="G486" s="37">
        <v>1</v>
      </c>
      <c r="H486" s="38">
        <v>0</v>
      </c>
    </row>
    <row r="487" spans="1:8" x14ac:dyDescent="0.25">
      <c r="A487" s="85"/>
      <c r="D487" s="96" t="s">
        <v>219</v>
      </c>
      <c r="E487" s="388" t="s">
        <v>4</v>
      </c>
      <c r="F487" s="388"/>
      <c r="G487" s="97">
        <v>1</v>
      </c>
      <c r="H487" s="98"/>
    </row>
    <row r="488" spans="1:8" x14ac:dyDescent="0.25">
      <c r="A488" s="1" t="s">
        <v>687</v>
      </c>
      <c r="B488" s="2" t="s">
        <v>89</v>
      </c>
      <c r="C488" s="2" t="s">
        <v>688</v>
      </c>
      <c r="D488" s="280" t="s">
        <v>689</v>
      </c>
      <c r="E488" s="280"/>
      <c r="F488" s="2" t="s">
        <v>329</v>
      </c>
      <c r="G488" s="37">
        <v>1</v>
      </c>
      <c r="H488" s="38">
        <v>0</v>
      </c>
    </row>
    <row r="489" spans="1:8" x14ac:dyDescent="0.25">
      <c r="A489" s="85"/>
      <c r="D489" s="96" t="s">
        <v>219</v>
      </c>
      <c r="E489" s="388" t="s">
        <v>4</v>
      </c>
      <c r="F489" s="388"/>
      <c r="G489" s="97">
        <v>1</v>
      </c>
      <c r="H489" s="98"/>
    </row>
    <row r="490" spans="1:8" x14ac:dyDescent="0.25">
      <c r="A490" s="1" t="s">
        <v>690</v>
      </c>
      <c r="B490" s="2" t="s">
        <v>89</v>
      </c>
      <c r="C490" s="2" t="s">
        <v>691</v>
      </c>
      <c r="D490" s="280" t="s">
        <v>692</v>
      </c>
      <c r="E490" s="280"/>
      <c r="F490" s="2" t="s">
        <v>329</v>
      </c>
      <c r="G490" s="37">
        <v>1</v>
      </c>
      <c r="H490" s="38">
        <v>0</v>
      </c>
    </row>
    <row r="491" spans="1:8" x14ac:dyDescent="0.25">
      <c r="A491" s="85"/>
      <c r="D491" s="96" t="s">
        <v>219</v>
      </c>
      <c r="E491" s="388" t="s">
        <v>4</v>
      </c>
      <c r="F491" s="388"/>
      <c r="G491" s="97">
        <v>1</v>
      </c>
      <c r="H491" s="98"/>
    </row>
    <row r="492" spans="1:8" x14ac:dyDescent="0.25">
      <c r="A492" s="1" t="s">
        <v>693</v>
      </c>
      <c r="B492" s="2" t="s">
        <v>89</v>
      </c>
      <c r="C492" s="2" t="s">
        <v>694</v>
      </c>
      <c r="D492" s="280" t="s">
        <v>695</v>
      </c>
      <c r="E492" s="280"/>
      <c r="F492" s="2" t="s">
        <v>643</v>
      </c>
      <c r="G492" s="37">
        <v>1</v>
      </c>
      <c r="H492" s="38">
        <v>0</v>
      </c>
    </row>
    <row r="493" spans="1:8" x14ac:dyDescent="0.25">
      <c r="A493" s="85"/>
      <c r="D493" s="96" t="s">
        <v>219</v>
      </c>
      <c r="E493" s="388" t="s">
        <v>4</v>
      </c>
      <c r="F493" s="388"/>
      <c r="G493" s="97">
        <v>1</v>
      </c>
      <c r="H493" s="98"/>
    </row>
    <row r="494" spans="1:8" x14ac:dyDescent="0.25">
      <c r="A494" s="1" t="s">
        <v>696</v>
      </c>
      <c r="B494" s="2" t="s">
        <v>89</v>
      </c>
      <c r="C494" s="2" t="s">
        <v>697</v>
      </c>
      <c r="D494" s="280" t="s">
        <v>698</v>
      </c>
      <c r="E494" s="280"/>
      <c r="F494" s="2" t="s">
        <v>329</v>
      </c>
      <c r="G494" s="37">
        <v>1</v>
      </c>
      <c r="H494" s="38">
        <v>0</v>
      </c>
    </row>
    <row r="495" spans="1:8" x14ac:dyDescent="0.25">
      <c r="A495" s="85"/>
      <c r="D495" s="96" t="s">
        <v>219</v>
      </c>
      <c r="E495" s="388" t="s">
        <v>4</v>
      </c>
      <c r="F495" s="388"/>
      <c r="G495" s="97">
        <v>1</v>
      </c>
      <c r="H495" s="98"/>
    </row>
    <row r="496" spans="1:8" x14ac:dyDescent="0.25">
      <c r="A496" s="1" t="s">
        <v>699</v>
      </c>
      <c r="B496" s="2" t="s">
        <v>89</v>
      </c>
      <c r="C496" s="2" t="s">
        <v>700</v>
      </c>
      <c r="D496" s="280" t="s">
        <v>701</v>
      </c>
      <c r="E496" s="280"/>
      <c r="F496" s="2" t="s">
        <v>63</v>
      </c>
      <c r="G496" s="37">
        <v>957.01739999999995</v>
      </c>
      <c r="H496" s="38">
        <v>0</v>
      </c>
    </row>
    <row r="497" spans="1:8" x14ac:dyDescent="0.25">
      <c r="A497" s="85"/>
      <c r="D497" s="96" t="s">
        <v>1562</v>
      </c>
      <c r="E497" s="388" t="s">
        <v>4</v>
      </c>
      <c r="F497" s="388"/>
      <c r="G497" s="97">
        <v>957.01739999999995</v>
      </c>
      <c r="H497" s="98"/>
    </row>
    <row r="498" spans="1:8" x14ac:dyDescent="0.25">
      <c r="A498" s="1" t="s">
        <v>702</v>
      </c>
      <c r="B498" s="2" t="s">
        <v>89</v>
      </c>
      <c r="C498" s="2" t="s">
        <v>703</v>
      </c>
      <c r="D498" s="280" t="s">
        <v>704</v>
      </c>
      <c r="E498" s="280"/>
      <c r="F498" s="2" t="s">
        <v>643</v>
      </c>
      <c r="G498" s="37">
        <v>1</v>
      </c>
      <c r="H498" s="38">
        <v>0</v>
      </c>
    </row>
    <row r="499" spans="1:8" x14ac:dyDescent="0.25">
      <c r="A499" s="85"/>
      <c r="D499" s="96" t="s">
        <v>219</v>
      </c>
      <c r="E499" s="388" t="s">
        <v>4</v>
      </c>
      <c r="F499" s="388"/>
      <c r="G499" s="97">
        <v>1</v>
      </c>
      <c r="H499" s="98"/>
    </row>
    <row r="500" spans="1:8" ht="40.5" customHeight="1" x14ac:dyDescent="0.25">
      <c r="A500" s="85"/>
      <c r="C500" s="99" t="s">
        <v>57</v>
      </c>
      <c r="D500" s="367" t="s">
        <v>706</v>
      </c>
      <c r="E500" s="368"/>
      <c r="F500" s="368"/>
      <c r="G500" s="368"/>
      <c r="H500" s="98"/>
    </row>
    <row r="501" spans="1:8" x14ac:dyDescent="0.25">
      <c r="A501" s="1" t="s">
        <v>707</v>
      </c>
      <c r="B501" s="2" t="s">
        <v>89</v>
      </c>
      <c r="C501" s="2" t="s">
        <v>708</v>
      </c>
      <c r="D501" s="280" t="s">
        <v>709</v>
      </c>
      <c r="E501" s="280"/>
      <c r="F501" s="2" t="s">
        <v>329</v>
      </c>
      <c r="G501" s="37">
        <v>1</v>
      </c>
      <c r="H501" s="38">
        <v>0</v>
      </c>
    </row>
    <row r="502" spans="1:8" x14ac:dyDescent="0.25">
      <c r="A502" s="85"/>
      <c r="D502" s="96" t="s">
        <v>219</v>
      </c>
      <c r="E502" s="388" t="s">
        <v>4</v>
      </c>
      <c r="F502" s="388"/>
      <c r="G502" s="97">
        <v>1</v>
      </c>
      <c r="H502" s="98"/>
    </row>
    <row r="503" spans="1:8" x14ac:dyDescent="0.25">
      <c r="A503" s="1" t="s">
        <v>710</v>
      </c>
      <c r="B503" s="2" t="s">
        <v>89</v>
      </c>
      <c r="C503" s="2" t="s">
        <v>711</v>
      </c>
      <c r="D503" s="280" t="s">
        <v>712</v>
      </c>
      <c r="E503" s="280"/>
      <c r="F503" s="2" t="s">
        <v>643</v>
      </c>
      <c r="G503" s="37">
        <v>1</v>
      </c>
      <c r="H503" s="38">
        <v>0</v>
      </c>
    </row>
    <row r="504" spans="1:8" x14ac:dyDescent="0.25">
      <c r="A504" s="85"/>
      <c r="D504" s="96" t="s">
        <v>219</v>
      </c>
      <c r="E504" s="388" t="s">
        <v>4</v>
      </c>
      <c r="F504" s="388"/>
      <c r="G504" s="97">
        <v>1</v>
      </c>
      <c r="H504" s="98"/>
    </row>
    <row r="505" spans="1:8" x14ac:dyDescent="0.25">
      <c r="A505" s="1" t="s">
        <v>714</v>
      </c>
      <c r="B505" s="2" t="s">
        <v>89</v>
      </c>
      <c r="C505" s="2" t="s">
        <v>715</v>
      </c>
      <c r="D505" s="280" t="s">
        <v>716</v>
      </c>
      <c r="E505" s="280"/>
      <c r="F505" s="2" t="s">
        <v>643</v>
      </c>
      <c r="G505" s="37">
        <v>1</v>
      </c>
      <c r="H505" s="38">
        <v>0</v>
      </c>
    </row>
    <row r="506" spans="1:8" x14ac:dyDescent="0.25">
      <c r="A506" s="85"/>
      <c r="D506" s="96" t="s">
        <v>219</v>
      </c>
      <c r="E506" s="388" t="s">
        <v>4</v>
      </c>
      <c r="F506" s="388"/>
      <c r="G506" s="97">
        <v>1</v>
      </c>
      <c r="H506" s="98"/>
    </row>
    <row r="507" spans="1:8" x14ac:dyDescent="0.25">
      <c r="A507" s="1" t="s">
        <v>717</v>
      </c>
      <c r="B507" s="2" t="s">
        <v>89</v>
      </c>
      <c r="C507" s="2" t="s">
        <v>718</v>
      </c>
      <c r="D507" s="280" t="s">
        <v>719</v>
      </c>
      <c r="E507" s="280"/>
      <c r="F507" s="2" t="s">
        <v>643</v>
      </c>
      <c r="G507" s="37">
        <v>1</v>
      </c>
      <c r="H507" s="38">
        <v>0</v>
      </c>
    </row>
    <row r="508" spans="1:8" x14ac:dyDescent="0.25">
      <c r="A508" s="85"/>
      <c r="D508" s="96" t="s">
        <v>219</v>
      </c>
      <c r="E508" s="388" t="s">
        <v>4</v>
      </c>
      <c r="F508" s="388"/>
      <c r="G508" s="97">
        <v>1</v>
      </c>
      <c r="H508" s="98"/>
    </row>
    <row r="509" spans="1:8" x14ac:dyDescent="0.25">
      <c r="A509" s="1" t="s">
        <v>720</v>
      </c>
      <c r="B509" s="2" t="s">
        <v>89</v>
      </c>
      <c r="C509" s="2" t="s">
        <v>721</v>
      </c>
      <c r="D509" s="280" t="s">
        <v>722</v>
      </c>
      <c r="E509" s="280"/>
      <c r="F509" s="2" t="s">
        <v>329</v>
      </c>
      <c r="G509" s="37">
        <v>1</v>
      </c>
      <c r="H509" s="38">
        <v>0</v>
      </c>
    </row>
    <row r="510" spans="1:8" x14ac:dyDescent="0.25">
      <c r="A510" s="85"/>
      <c r="D510" s="96" t="s">
        <v>219</v>
      </c>
      <c r="E510" s="388" t="s">
        <v>4</v>
      </c>
      <c r="F510" s="388"/>
      <c r="G510" s="97">
        <v>1</v>
      </c>
      <c r="H510" s="98"/>
    </row>
    <row r="511" spans="1:8" x14ac:dyDescent="0.25">
      <c r="A511" s="1" t="s">
        <v>723</v>
      </c>
      <c r="B511" s="2" t="s">
        <v>89</v>
      </c>
      <c r="C511" s="2" t="s">
        <v>724</v>
      </c>
      <c r="D511" s="280" t="s">
        <v>725</v>
      </c>
      <c r="E511" s="280"/>
      <c r="F511" s="2" t="s">
        <v>329</v>
      </c>
      <c r="G511" s="37">
        <v>1</v>
      </c>
      <c r="H511" s="38">
        <v>0</v>
      </c>
    </row>
    <row r="512" spans="1:8" x14ac:dyDescent="0.25">
      <c r="A512" s="85"/>
      <c r="D512" s="96" t="s">
        <v>219</v>
      </c>
      <c r="E512" s="388" t="s">
        <v>4</v>
      </c>
      <c r="F512" s="388"/>
      <c r="G512" s="97">
        <v>1</v>
      </c>
      <c r="H512" s="98"/>
    </row>
    <row r="513" spans="1:8" x14ac:dyDescent="0.25">
      <c r="A513" s="1" t="s">
        <v>726</v>
      </c>
      <c r="B513" s="2" t="s">
        <v>89</v>
      </c>
      <c r="C513" s="2" t="s">
        <v>727</v>
      </c>
      <c r="D513" s="280" t="s">
        <v>728</v>
      </c>
      <c r="E513" s="280"/>
      <c r="F513" s="2" t="s">
        <v>329</v>
      </c>
      <c r="G513" s="37">
        <v>4</v>
      </c>
      <c r="H513" s="38">
        <v>0</v>
      </c>
    </row>
    <row r="514" spans="1:8" x14ac:dyDescent="0.25">
      <c r="A514" s="85"/>
      <c r="D514" s="96" t="s">
        <v>233</v>
      </c>
      <c r="E514" s="388" t="s">
        <v>4</v>
      </c>
      <c r="F514" s="388"/>
      <c r="G514" s="97">
        <v>4</v>
      </c>
      <c r="H514" s="98"/>
    </row>
    <row r="515" spans="1:8" x14ac:dyDescent="0.25">
      <c r="A515" s="1" t="s">
        <v>729</v>
      </c>
      <c r="B515" s="2" t="s">
        <v>89</v>
      </c>
      <c r="C515" s="2" t="s">
        <v>730</v>
      </c>
      <c r="D515" s="280" t="s">
        <v>731</v>
      </c>
      <c r="E515" s="280"/>
      <c r="F515" s="2" t="s">
        <v>329</v>
      </c>
      <c r="G515" s="37">
        <v>3</v>
      </c>
      <c r="H515" s="38">
        <v>0</v>
      </c>
    </row>
    <row r="516" spans="1:8" x14ac:dyDescent="0.25">
      <c r="A516" s="85"/>
      <c r="D516" s="96" t="s">
        <v>230</v>
      </c>
      <c r="E516" s="388" t="s">
        <v>4</v>
      </c>
      <c r="F516" s="388"/>
      <c r="G516" s="97">
        <v>3</v>
      </c>
      <c r="H516" s="98"/>
    </row>
    <row r="517" spans="1:8" x14ac:dyDescent="0.25">
      <c r="A517" s="1" t="s">
        <v>732</v>
      </c>
      <c r="B517" s="2" t="s">
        <v>89</v>
      </c>
      <c r="C517" s="2" t="s">
        <v>733</v>
      </c>
      <c r="D517" s="280" t="s">
        <v>734</v>
      </c>
      <c r="E517" s="280"/>
      <c r="F517" s="2" t="s">
        <v>329</v>
      </c>
      <c r="G517" s="37">
        <v>3</v>
      </c>
      <c r="H517" s="38">
        <v>0</v>
      </c>
    </row>
    <row r="518" spans="1:8" x14ac:dyDescent="0.25">
      <c r="A518" s="85"/>
      <c r="D518" s="96" t="s">
        <v>230</v>
      </c>
      <c r="E518" s="388" t="s">
        <v>4</v>
      </c>
      <c r="F518" s="388"/>
      <c r="G518" s="97">
        <v>3</v>
      </c>
      <c r="H518" s="98"/>
    </row>
    <row r="519" spans="1:8" x14ac:dyDescent="0.25">
      <c r="A519" s="1" t="s">
        <v>735</v>
      </c>
      <c r="B519" s="2" t="s">
        <v>89</v>
      </c>
      <c r="C519" s="2" t="s">
        <v>736</v>
      </c>
      <c r="D519" s="280" t="s">
        <v>737</v>
      </c>
      <c r="E519" s="280"/>
      <c r="F519" s="2" t="s">
        <v>329</v>
      </c>
      <c r="G519" s="37">
        <v>4</v>
      </c>
      <c r="H519" s="38">
        <v>0</v>
      </c>
    </row>
    <row r="520" spans="1:8" x14ac:dyDescent="0.25">
      <c r="A520" s="85"/>
      <c r="D520" s="96" t="s">
        <v>233</v>
      </c>
      <c r="E520" s="388" t="s">
        <v>4</v>
      </c>
      <c r="F520" s="388"/>
      <c r="G520" s="97">
        <v>4</v>
      </c>
      <c r="H520" s="98"/>
    </row>
    <row r="521" spans="1:8" x14ac:dyDescent="0.25">
      <c r="A521" s="1" t="s">
        <v>738</v>
      </c>
      <c r="B521" s="2" t="s">
        <v>89</v>
      </c>
      <c r="C521" s="2" t="s">
        <v>739</v>
      </c>
      <c r="D521" s="280" t="s">
        <v>740</v>
      </c>
      <c r="E521" s="280"/>
      <c r="F521" s="2" t="s">
        <v>329</v>
      </c>
      <c r="G521" s="37">
        <v>1</v>
      </c>
      <c r="H521" s="38">
        <v>0</v>
      </c>
    </row>
    <row r="522" spans="1:8" x14ac:dyDescent="0.25">
      <c r="A522" s="85"/>
      <c r="D522" s="96" t="s">
        <v>219</v>
      </c>
      <c r="E522" s="388" t="s">
        <v>4</v>
      </c>
      <c r="F522" s="388"/>
      <c r="G522" s="97">
        <v>1</v>
      </c>
      <c r="H522" s="98"/>
    </row>
    <row r="523" spans="1:8" x14ac:dyDescent="0.25">
      <c r="A523" s="1" t="s">
        <v>741</v>
      </c>
      <c r="B523" s="2" t="s">
        <v>89</v>
      </c>
      <c r="C523" s="2" t="s">
        <v>742</v>
      </c>
      <c r="D523" s="280" t="s">
        <v>743</v>
      </c>
      <c r="E523" s="280"/>
      <c r="F523" s="2" t="s">
        <v>329</v>
      </c>
      <c r="G523" s="37">
        <v>1</v>
      </c>
      <c r="H523" s="38">
        <v>0</v>
      </c>
    </row>
    <row r="524" spans="1:8" x14ac:dyDescent="0.25">
      <c r="A524" s="85"/>
      <c r="D524" s="96" t="s">
        <v>219</v>
      </c>
      <c r="E524" s="388" t="s">
        <v>4</v>
      </c>
      <c r="F524" s="388"/>
      <c r="G524" s="97">
        <v>1</v>
      </c>
      <c r="H524" s="98"/>
    </row>
    <row r="525" spans="1:8" x14ac:dyDescent="0.25">
      <c r="A525" s="1" t="s">
        <v>744</v>
      </c>
      <c r="B525" s="2" t="s">
        <v>89</v>
      </c>
      <c r="C525" s="2" t="s">
        <v>745</v>
      </c>
      <c r="D525" s="280" t="s">
        <v>746</v>
      </c>
      <c r="E525" s="280"/>
      <c r="F525" s="2" t="s">
        <v>329</v>
      </c>
      <c r="G525" s="37">
        <v>2</v>
      </c>
      <c r="H525" s="38">
        <v>0</v>
      </c>
    </row>
    <row r="526" spans="1:8" x14ac:dyDescent="0.25">
      <c r="A526" s="85"/>
      <c r="D526" s="96" t="s">
        <v>227</v>
      </c>
      <c r="E526" s="388" t="s">
        <v>4</v>
      </c>
      <c r="F526" s="388"/>
      <c r="G526" s="97">
        <v>2</v>
      </c>
      <c r="H526" s="98"/>
    </row>
    <row r="527" spans="1:8" x14ac:dyDescent="0.25">
      <c r="A527" s="1" t="s">
        <v>747</v>
      </c>
      <c r="B527" s="2" t="s">
        <v>89</v>
      </c>
      <c r="C527" s="2" t="s">
        <v>748</v>
      </c>
      <c r="D527" s="280" t="s">
        <v>749</v>
      </c>
      <c r="E527" s="280"/>
      <c r="F527" s="2" t="s">
        <v>329</v>
      </c>
      <c r="G527" s="37">
        <v>2</v>
      </c>
      <c r="H527" s="38">
        <v>0</v>
      </c>
    </row>
    <row r="528" spans="1:8" x14ac:dyDescent="0.25">
      <c r="A528" s="85"/>
      <c r="D528" s="96" t="s">
        <v>227</v>
      </c>
      <c r="E528" s="388" t="s">
        <v>4</v>
      </c>
      <c r="F528" s="388"/>
      <c r="G528" s="97">
        <v>2</v>
      </c>
      <c r="H528" s="98"/>
    </row>
    <row r="529" spans="1:8" x14ac:dyDescent="0.25">
      <c r="A529" s="1" t="s">
        <v>750</v>
      </c>
      <c r="B529" s="2" t="s">
        <v>89</v>
      </c>
      <c r="C529" s="2" t="s">
        <v>751</v>
      </c>
      <c r="D529" s="280" t="s">
        <v>752</v>
      </c>
      <c r="E529" s="280"/>
      <c r="F529" s="2" t="s">
        <v>329</v>
      </c>
      <c r="G529" s="37">
        <v>2</v>
      </c>
      <c r="H529" s="38">
        <v>0</v>
      </c>
    </row>
    <row r="530" spans="1:8" x14ac:dyDescent="0.25">
      <c r="A530" s="85"/>
      <c r="D530" s="96" t="s">
        <v>227</v>
      </c>
      <c r="E530" s="388" t="s">
        <v>4</v>
      </c>
      <c r="F530" s="388"/>
      <c r="G530" s="97">
        <v>2</v>
      </c>
      <c r="H530" s="98"/>
    </row>
    <row r="531" spans="1:8" x14ac:dyDescent="0.25">
      <c r="A531" s="1" t="s">
        <v>753</v>
      </c>
      <c r="B531" s="2" t="s">
        <v>89</v>
      </c>
      <c r="C531" s="2" t="s">
        <v>754</v>
      </c>
      <c r="D531" s="280" t="s">
        <v>755</v>
      </c>
      <c r="E531" s="280"/>
      <c r="F531" s="2" t="s">
        <v>329</v>
      </c>
      <c r="G531" s="37">
        <v>2</v>
      </c>
      <c r="H531" s="38">
        <v>0</v>
      </c>
    </row>
    <row r="532" spans="1:8" x14ac:dyDescent="0.25">
      <c r="A532" s="85"/>
      <c r="D532" s="96" t="s">
        <v>227</v>
      </c>
      <c r="E532" s="388" t="s">
        <v>4</v>
      </c>
      <c r="F532" s="388"/>
      <c r="G532" s="97">
        <v>2</v>
      </c>
      <c r="H532" s="98"/>
    </row>
    <row r="533" spans="1:8" x14ac:dyDescent="0.25">
      <c r="A533" s="1" t="s">
        <v>756</v>
      </c>
      <c r="B533" s="2" t="s">
        <v>89</v>
      </c>
      <c r="C533" s="2" t="s">
        <v>757</v>
      </c>
      <c r="D533" s="280" t="s">
        <v>758</v>
      </c>
      <c r="E533" s="280"/>
      <c r="F533" s="2" t="s">
        <v>333</v>
      </c>
      <c r="G533" s="37">
        <v>1</v>
      </c>
      <c r="H533" s="38">
        <v>0</v>
      </c>
    </row>
    <row r="534" spans="1:8" x14ac:dyDescent="0.25">
      <c r="A534" s="85"/>
      <c r="D534" s="96" t="s">
        <v>219</v>
      </c>
      <c r="E534" s="388" t="s">
        <v>4</v>
      </c>
      <c r="F534" s="388"/>
      <c r="G534" s="97">
        <v>1</v>
      </c>
      <c r="H534" s="98"/>
    </row>
    <row r="535" spans="1:8" x14ac:dyDescent="0.25">
      <c r="A535" s="1" t="s">
        <v>759</v>
      </c>
      <c r="B535" s="2" t="s">
        <v>89</v>
      </c>
      <c r="C535" s="2" t="s">
        <v>760</v>
      </c>
      <c r="D535" s="280" t="s">
        <v>761</v>
      </c>
      <c r="E535" s="280"/>
      <c r="F535" s="2" t="s">
        <v>333</v>
      </c>
      <c r="G535" s="37">
        <v>9</v>
      </c>
      <c r="H535" s="38">
        <v>0</v>
      </c>
    </row>
    <row r="536" spans="1:8" x14ac:dyDescent="0.25">
      <c r="A536" s="85"/>
      <c r="D536" s="96" t="s">
        <v>251</v>
      </c>
      <c r="E536" s="388" t="s">
        <v>4</v>
      </c>
      <c r="F536" s="388"/>
      <c r="G536" s="97">
        <v>9</v>
      </c>
      <c r="H536" s="98"/>
    </row>
    <row r="537" spans="1:8" x14ac:dyDescent="0.25">
      <c r="A537" s="1" t="s">
        <v>762</v>
      </c>
      <c r="B537" s="2" t="s">
        <v>89</v>
      </c>
      <c r="C537" s="2" t="s">
        <v>763</v>
      </c>
      <c r="D537" s="280" t="s">
        <v>764</v>
      </c>
      <c r="E537" s="280"/>
      <c r="F537" s="2" t="s">
        <v>333</v>
      </c>
      <c r="G537" s="37">
        <v>50</v>
      </c>
      <c r="H537" s="38">
        <v>0</v>
      </c>
    </row>
    <row r="538" spans="1:8" x14ac:dyDescent="0.25">
      <c r="A538" s="85"/>
      <c r="D538" s="96" t="s">
        <v>378</v>
      </c>
      <c r="E538" s="388" t="s">
        <v>4</v>
      </c>
      <c r="F538" s="388"/>
      <c r="G538" s="97">
        <v>50</v>
      </c>
      <c r="H538" s="98"/>
    </row>
    <row r="539" spans="1:8" x14ac:dyDescent="0.25">
      <c r="A539" s="1" t="s">
        <v>765</v>
      </c>
      <c r="B539" s="2" t="s">
        <v>89</v>
      </c>
      <c r="C539" s="2" t="s">
        <v>766</v>
      </c>
      <c r="D539" s="280" t="s">
        <v>767</v>
      </c>
      <c r="E539" s="280"/>
      <c r="F539" s="2" t="s">
        <v>333</v>
      </c>
      <c r="G539" s="37">
        <v>7</v>
      </c>
      <c r="H539" s="38">
        <v>0</v>
      </c>
    </row>
    <row r="540" spans="1:8" x14ac:dyDescent="0.25">
      <c r="A540" s="85"/>
      <c r="D540" s="96" t="s">
        <v>243</v>
      </c>
      <c r="E540" s="388" t="s">
        <v>4</v>
      </c>
      <c r="F540" s="388"/>
      <c r="G540" s="97">
        <v>7</v>
      </c>
      <c r="H540" s="98"/>
    </row>
    <row r="541" spans="1:8" x14ac:dyDescent="0.25">
      <c r="A541" s="1" t="s">
        <v>768</v>
      </c>
      <c r="B541" s="2" t="s">
        <v>89</v>
      </c>
      <c r="C541" s="2" t="s">
        <v>769</v>
      </c>
      <c r="D541" s="280" t="s">
        <v>770</v>
      </c>
      <c r="E541" s="280"/>
      <c r="F541" s="2" t="s">
        <v>333</v>
      </c>
      <c r="G541" s="37">
        <v>6</v>
      </c>
      <c r="H541" s="38">
        <v>0</v>
      </c>
    </row>
    <row r="542" spans="1:8" x14ac:dyDescent="0.25">
      <c r="A542" s="85"/>
      <c r="D542" s="96" t="s">
        <v>240</v>
      </c>
      <c r="E542" s="388" t="s">
        <v>4</v>
      </c>
      <c r="F542" s="388"/>
      <c r="G542" s="97">
        <v>6</v>
      </c>
      <c r="H542" s="98"/>
    </row>
    <row r="543" spans="1:8" x14ac:dyDescent="0.25">
      <c r="A543" s="1" t="s">
        <v>771</v>
      </c>
      <c r="B543" s="2" t="s">
        <v>89</v>
      </c>
      <c r="C543" s="2" t="s">
        <v>772</v>
      </c>
      <c r="D543" s="280" t="s">
        <v>773</v>
      </c>
      <c r="E543" s="280"/>
      <c r="F543" s="2" t="s">
        <v>333</v>
      </c>
      <c r="G543" s="37">
        <v>3</v>
      </c>
      <c r="H543" s="38">
        <v>0</v>
      </c>
    </row>
    <row r="544" spans="1:8" x14ac:dyDescent="0.25">
      <c r="A544" s="85"/>
      <c r="D544" s="96" t="s">
        <v>230</v>
      </c>
      <c r="E544" s="388" t="s">
        <v>4</v>
      </c>
      <c r="F544" s="388"/>
      <c r="G544" s="97">
        <v>3</v>
      </c>
      <c r="H544" s="98"/>
    </row>
    <row r="545" spans="1:8" x14ac:dyDescent="0.25">
      <c r="A545" s="1" t="s">
        <v>774</v>
      </c>
      <c r="B545" s="2" t="s">
        <v>89</v>
      </c>
      <c r="C545" s="2" t="s">
        <v>775</v>
      </c>
      <c r="D545" s="280" t="s">
        <v>776</v>
      </c>
      <c r="E545" s="280"/>
      <c r="F545" s="2" t="s">
        <v>249</v>
      </c>
      <c r="G545" s="37">
        <v>50</v>
      </c>
      <c r="H545" s="38">
        <v>0</v>
      </c>
    </row>
    <row r="546" spans="1:8" x14ac:dyDescent="0.25">
      <c r="A546" s="85"/>
      <c r="D546" s="96" t="s">
        <v>378</v>
      </c>
      <c r="E546" s="388" t="s">
        <v>4</v>
      </c>
      <c r="F546" s="388"/>
      <c r="G546" s="97">
        <v>50</v>
      </c>
      <c r="H546" s="98"/>
    </row>
    <row r="547" spans="1:8" x14ac:dyDescent="0.25">
      <c r="A547" s="1" t="s">
        <v>777</v>
      </c>
      <c r="B547" s="2" t="s">
        <v>89</v>
      </c>
      <c r="C547" s="2" t="s">
        <v>778</v>
      </c>
      <c r="D547" s="280" t="s">
        <v>779</v>
      </c>
      <c r="E547" s="280"/>
      <c r="F547" s="2" t="s">
        <v>249</v>
      </c>
      <c r="G547" s="37">
        <v>5</v>
      </c>
      <c r="H547" s="38">
        <v>0</v>
      </c>
    </row>
    <row r="548" spans="1:8" x14ac:dyDescent="0.25">
      <c r="A548" s="85"/>
      <c r="D548" s="96" t="s">
        <v>237</v>
      </c>
      <c r="E548" s="388" t="s">
        <v>4</v>
      </c>
      <c r="F548" s="388"/>
      <c r="G548" s="97">
        <v>5</v>
      </c>
      <c r="H548" s="98"/>
    </row>
    <row r="549" spans="1:8" x14ac:dyDescent="0.25">
      <c r="A549" s="1" t="s">
        <v>780</v>
      </c>
      <c r="B549" s="2" t="s">
        <v>89</v>
      </c>
      <c r="C549" s="2" t="s">
        <v>781</v>
      </c>
      <c r="D549" s="280" t="s">
        <v>782</v>
      </c>
      <c r="E549" s="280"/>
      <c r="F549" s="2" t="s">
        <v>783</v>
      </c>
      <c r="G549" s="37">
        <v>30</v>
      </c>
      <c r="H549" s="38">
        <v>0</v>
      </c>
    </row>
    <row r="550" spans="1:8" x14ac:dyDescent="0.25">
      <c r="A550" s="85"/>
      <c r="D550" s="96" t="s">
        <v>316</v>
      </c>
      <c r="E550" s="388" t="s">
        <v>4</v>
      </c>
      <c r="F550" s="388"/>
      <c r="G550" s="97">
        <v>30</v>
      </c>
      <c r="H550" s="98"/>
    </row>
    <row r="551" spans="1:8" x14ac:dyDescent="0.25">
      <c r="A551" s="1" t="s">
        <v>784</v>
      </c>
      <c r="B551" s="2" t="s">
        <v>89</v>
      </c>
      <c r="C551" s="2" t="s">
        <v>785</v>
      </c>
      <c r="D551" s="280" t="s">
        <v>786</v>
      </c>
      <c r="E551" s="280"/>
      <c r="F551" s="2" t="s">
        <v>63</v>
      </c>
      <c r="G551" s="37">
        <v>5</v>
      </c>
      <c r="H551" s="38">
        <v>0</v>
      </c>
    </row>
    <row r="552" spans="1:8" x14ac:dyDescent="0.25">
      <c r="A552" s="85"/>
      <c r="D552" s="96" t="s">
        <v>237</v>
      </c>
      <c r="E552" s="388" t="s">
        <v>4</v>
      </c>
      <c r="F552" s="388"/>
      <c r="G552" s="97">
        <v>5</v>
      </c>
      <c r="H552" s="98"/>
    </row>
    <row r="553" spans="1:8" x14ac:dyDescent="0.25">
      <c r="A553" s="1" t="s">
        <v>787</v>
      </c>
      <c r="B553" s="2" t="s">
        <v>89</v>
      </c>
      <c r="C553" s="2" t="s">
        <v>788</v>
      </c>
      <c r="D553" s="280" t="s">
        <v>789</v>
      </c>
      <c r="E553" s="280"/>
      <c r="F553" s="2" t="s">
        <v>63</v>
      </c>
      <c r="G553" s="37">
        <v>35</v>
      </c>
      <c r="H553" s="38">
        <v>0</v>
      </c>
    </row>
    <row r="554" spans="1:8" x14ac:dyDescent="0.25">
      <c r="A554" s="85"/>
      <c r="D554" s="96" t="s">
        <v>330</v>
      </c>
      <c r="E554" s="388" t="s">
        <v>4</v>
      </c>
      <c r="F554" s="388"/>
      <c r="G554" s="97">
        <v>35</v>
      </c>
      <c r="H554" s="98"/>
    </row>
    <row r="555" spans="1:8" x14ac:dyDescent="0.25">
      <c r="A555" s="1" t="s">
        <v>790</v>
      </c>
      <c r="B555" s="2" t="s">
        <v>89</v>
      </c>
      <c r="C555" s="2" t="s">
        <v>791</v>
      </c>
      <c r="D555" s="280" t="s">
        <v>792</v>
      </c>
      <c r="E555" s="280"/>
      <c r="F555" s="2" t="s">
        <v>63</v>
      </c>
      <c r="G555" s="37">
        <v>5</v>
      </c>
      <c r="H555" s="38">
        <v>0</v>
      </c>
    </row>
    <row r="556" spans="1:8" x14ac:dyDescent="0.25">
      <c r="A556" s="85"/>
      <c r="D556" s="96" t="s">
        <v>237</v>
      </c>
      <c r="E556" s="388" t="s">
        <v>4</v>
      </c>
      <c r="F556" s="388"/>
      <c r="G556" s="97">
        <v>5</v>
      </c>
      <c r="H556" s="98"/>
    </row>
    <row r="557" spans="1:8" x14ac:dyDescent="0.25">
      <c r="A557" s="1" t="s">
        <v>793</v>
      </c>
      <c r="B557" s="2" t="s">
        <v>89</v>
      </c>
      <c r="C557" s="2" t="s">
        <v>794</v>
      </c>
      <c r="D557" s="280" t="s">
        <v>795</v>
      </c>
      <c r="E557" s="280"/>
      <c r="F557" s="2" t="s">
        <v>796</v>
      </c>
      <c r="G557" s="37">
        <v>8</v>
      </c>
      <c r="H557" s="38">
        <v>0</v>
      </c>
    </row>
    <row r="558" spans="1:8" x14ac:dyDescent="0.25">
      <c r="A558" s="85"/>
      <c r="D558" s="96" t="s">
        <v>246</v>
      </c>
      <c r="E558" s="388" t="s">
        <v>4</v>
      </c>
      <c r="F558" s="388"/>
      <c r="G558" s="97">
        <v>8</v>
      </c>
      <c r="H558" s="98"/>
    </row>
    <row r="559" spans="1:8" x14ac:dyDescent="0.25">
      <c r="A559" s="1" t="s">
        <v>797</v>
      </c>
      <c r="B559" s="2" t="s">
        <v>89</v>
      </c>
      <c r="C559" s="2" t="s">
        <v>798</v>
      </c>
      <c r="D559" s="280" t="s">
        <v>799</v>
      </c>
      <c r="E559" s="280"/>
      <c r="F559" s="2" t="s">
        <v>796</v>
      </c>
      <c r="G559" s="37">
        <v>4</v>
      </c>
      <c r="H559" s="38">
        <v>0</v>
      </c>
    </row>
    <row r="560" spans="1:8" x14ac:dyDescent="0.25">
      <c r="A560" s="85"/>
      <c r="D560" s="96" t="s">
        <v>233</v>
      </c>
      <c r="E560" s="388" t="s">
        <v>4</v>
      </c>
      <c r="F560" s="388"/>
      <c r="G560" s="97">
        <v>4</v>
      </c>
      <c r="H560" s="98"/>
    </row>
    <row r="561" spans="1:8" x14ac:dyDescent="0.25">
      <c r="A561" s="1" t="s">
        <v>800</v>
      </c>
      <c r="B561" s="2" t="s">
        <v>89</v>
      </c>
      <c r="C561" s="2" t="s">
        <v>801</v>
      </c>
      <c r="D561" s="280" t="s">
        <v>802</v>
      </c>
      <c r="E561" s="280"/>
      <c r="F561" s="2" t="s">
        <v>803</v>
      </c>
      <c r="G561" s="37">
        <v>1</v>
      </c>
      <c r="H561" s="38">
        <v>0</v>
      </c>
    </row>
    <row r="562" spans="1:8" x14ac:dyDescent="0.25">
      <c r="A562" s="85"/>
      <c r="D562" s="96" t="s">
        <v>219</v>
      </c>
      <c r="E562" s="388" t="s">
        <v>4</v>
      </c>
      <c r="F562" s="388"/>
      <c r="G562" s="97">
        <v>1</v>
      </c>
      <c r="H562" s="98"/>
    </row>
    <row r="563" spans="1:8" x14ac:dyDescent="0.25">
      <c r="A563" s="1" t="s">
        <v>806</v>
      </c>
      <c r="B563" s="2" t="s">
        <v>89</v>
      </c>
      <c r="C563" s="2" t="s">
        <v>807</v>
      </c>
      <c r="D563" s="280" t="s">
        <v>808</v>
      </c>
      <c r="E563" s="280"/>
      <c r="F563" s="2" t="s">
        <v>803</v>
      </c>
      <c r="G563" s="37">
        <v>1</v>
      </c>
      <c r="H563" s="38">
        <v>0</v>
      </c>
    </row>
    <row r="564" spans="1:8" x14ac:dyDescent="0.25">
      <c r="A564" s="85"/>
      <c r="D564" s="96" t="s">
        <v>219</v>
      </c>
      <c r="E564" s="388" t="s">
        <v>4</v>
      </c>
      <c r="F564" s="388"/>
      <c r="G564" s="97">
        <v>1</v>
      </c>
      <c r="H564" s="98"/>
    </row>
    <row r="565" spans="1:8" x14ac:dyDescent="0.25">
      <c r="A565" s="1" t="s">
        <v>809</v>
      </c>
      <c r="B565" s="2" t="s">
        <v>89</v>
      </c>
      <c r="C565" s="2" t="s">
        <v>810</v>
      </c>
      <c r="D565" s="280" t="s">
        <v>811</v>
      </c>
      <c r="E565" s="280"/>
      <c r="F565" s="2" t="s">
        <v>63</v>
      </c>
      <c r="G565" s="37">
        <v>5136.18</v>
      </c>
      <c r="H565" s="38">
        <v>0</v>
      </c>
    </row>
    <row r="566" spans="1:8" x14ac:dyDescent="0.25">
      <c r="A566" s="85"/>
      <c r="D566" s="96" t="s">
        <v>1563</v>
      </c>
      <c r="E566" s="388" t="s">
        <v>4</v>
      </c>
      <c r="F566" s="388"/>
      <c r="G566" s="97">
        <v>5136.18</v>
      </c>
      <c r="H566" s="98"/>
    </row>
    <row r="567" spans="1:8" x14ac:dyDescent="0.25">
      <c r="A567" s="1" t="s">
        <v>812</v>
      </c>
      <c r="B567" s="2" t="s">
        <v>89</v>
      </c>
      <c r="C567" s="2" t="s">
        <v>813</v>
      </c>
      <c r="D567" s="280" t="s">
        <v>814</v>
      </c>
      <c r="E567" s="280"/>
      <c r="F567" s="2" t="s">
        <v>249</v>
      </c>
      <c r="G567" s="37">
        <v>104.79</v>
      </c>
      <c r="H567" s="38">
        <v>0</v>
      </c>
    </row>
    <row r="568" spans="1:8" x14ac:dyDescent="0.25">
      <c r="A568" s="85"/>
      <c r="D568" s="96" t="s">
        <v>1439</v>
      </c>
      <c r="E568" s="388" t="s">
        <v>1564</v>
      </c>
      <c r="F568" s="388"/>
      <c r="G568" s="97">
        <v>104.79</v>
      </c>
      <c r="H568" s="98"/>
    </row>
    <row r="569" spans="1:8" x14ac:dyDescent="0.25">
      <c r="A569" s="1" t="s">
        <v>817</v>
      </c>
      <c r="B569" s="2" t="s">
        <v>89</v>
      </c>
      <c r="C569" s="2" t="s">
        <v>818</v>
      </c>
      <c r="D569" s="280" t="s">
        <v>819</v>
      </c>
      <c r="E569" s="280"/>
      <c r="F569" s="2" t="s">
        <v>222</v>
      </c>
      <c r="G569" s="37">
        <v>2.5149599999999999</v>
      </c>
      <c r="H569" s="38">
        <v>0</v>
      </c>
    </row>
    <row r="570" spans="1:8" x14ac:dyDescent="0.25">
      <c r="A570" s="85"/>
      <c r="D570" s="96" t="s">
        <v>1565</v>
      </c>
      <c r="E570" s="388" t="s">
        <v>4</v>
      </c>
      <c r="F570" s="388"/>
      <c r="G570" s="97">
        <v>2.5149599999999999</v>
      </c>
      <c r="H570" s="98"/>
    </row>
    <row r="571" spans="1:8" x14ac:dyDescent="0.25">
      <c r="A571" s="1" t="s">
        <v>820</v>
      </c>
      <c r="B571" s="2" t="s">
        <v>89</v>
      </c>
      <c r="C571" s="2" t="s">
        <v>821</v>
      </c>
      <c r="D571" s="280" t="s">
        <v>822</v>
      </c>
      <c r="E571" s="280"/>
      <c r="F571" s="2" t="s">
        <v>333</v>
      </c>
      <c r="G571" s="37">
        <v>7</v>
      </c>
      <c r="H571" s="38">
        <v>0</v>
      </c>
    </row>
    <row r="572" spans="1:8" x14ac:dyDescent="0.25">
      <c r="A572" s="85"/>
      <c r="D572" s="96" t="s">
        <v>1566</v>
      </c>
      <c r="E572" s="388" t="s">
        <v>4</v>
      </c>
      <c r="F572" s="388"/>
      <c r="G572" s="97">
        <v>7</v>
      </c>
      <c r="H572" s="98"/>
    </row>
    <row r="573" spans="1:8" x14ac:dyDescent="0.25">
      <c r="A573" s="1" t="s">
        <v>823</v>
      </c>
      <c r="B573" s="2" t="s">
        <v>89</v>
      </c>
      <c r="C573" s="2" t="s">
        <v>824</v>
      </c>
      <c r="D573" s="280" t="s">
        <v>825</v>
      </c>
      <c r="E573" s="280"/>
      <c r="F573" s="2" t="s">
        <v>222</v>
      </c>
      <c r="G573" s="37">
        <v>0.36399999999999999</v>
      </c>
      <c r="H573" s="38">
        <v>0</v>
      </c>
    </row>
    <row r="574" spans="1:8" x14ac:dyDescent="0.25">
      <c r="A574" s="85"/>
      <c r="D574" s="96" t="s">
        <v>1567</v>
      </c>
      <c r="E574" s="388" t="s">
        <v>4</v>
      </c>
      <c r="F574" s="388"/>
      <c r="G574" s="97">
        <v>0.36399999999999999</v>
      </c>
      <c r="H574" s="98"/>
    </row>
    <row r="575" spans="1:8" x14ac:dyDescent="0.25">
      <c r="A575" s="1" t="s">
        <v>826</v>
      </c>
      <c r="B575" s="2" t="s">
        <v>89</v>
      </c>
      <c r="C575" s="2" t="s">
        <v>827</v>
      </c>
      <c r="D575" s="280" t="s">
        <v>828</v>
      </c>
      <c r="E575" s="280"/>
      <c r="F575" s="2" t="s">
        <v>222</v>
      </c>
      <c r="G575" s="37">
        <v>0.36399999999999999</v>
      </c>
      <c r="H575" s="38">
        <v>0</v>
      </c>
    </row>
    <row r="576" spans="1:8" x14ac:dyDescent="0.25">
      <c r="A576" s="85"/>
      <c r="D576" s="96" t="s">
        <v>1568</v>
      </c>
      <c r="E576" s="388" t="s">
        <v>4</v>
      </c>
      <c r="F576" s="388"/>
      <c r="G576" s="97">
        <v>0.36399999999999999</v>
      </c>
      <c r="H576" s="98"/>
    </row>
    <row r="577" spans="1:8" x14ac:dyDescent="0.25">
      <c r="A577" s="1" t="s">
        <v>829</v>
      </c>
      <c r="B577" s="2" t="s">
        <v>89</v>
      </c>
      <c r="C577" s="2" t="s">
        <v>830</v>
      </c>
      <c r="D577" s="280" t="s">
        <v>831</v>
      </c>
      <c r="E577" s="280"/>
      <c r="F577" s="2" t="s">
        <v>63</v>
      </c>
      <c r="G577" s="37">
        <v>634.87300000000005</v>
      </c>
      <c r="H577" s="38">
        <v>0</v>
      </c>
    </row>
    <row r="578" spans="1:8" x14ac:dyDescent="0.25">
      <c r="A578" s="85"/>
      <c r="D578" s="96" t="s">
        <v>1569</v>
      </c>
      <c r="E578" s="388" t="s">
        <v>4</v>
      </c>
      <c r="F578" s="388"/>
      <c r="G578" s="97">
        <v>634.87300000000005</v>
      </c>
      <c r="H578" s="98"/>
    </row>
    <row r="579" spans="1:8" x14ac:dyDescent="0.25">
      <c r="A579" s="1" t="s">
        <v>832</v>
      </c>
      <c r="B579" s="2" t="s">
        <v>89</v>
      </c>
      <c r="C579" s="2" t="s">
        <v>833</v>
      </c>
      <c r="D579" s="280" t="s">
        <v>834</v>
      </c>
      <c r="E579" s="280"/>
      <c r="F579" s="2" t="s">
        <v>333</v>
      </c>
      <c r="G579" s="37">
        <v>16.75</v>
      </c>
      <c r="H579" s="38">
        <v>0</v>
      </c>
    </row>
    <row r="580" spans="1:8" x14ac:dyDescent="0.25">
      <c r="A580" s="85"/>
      <c r="D580" s="96" t="s">
        <v>1570</v>
      </c>
      <c r="E580" s="388" t="s">
        <v>4</v>
      </c>
      <c r="F580" s="388"/>
      <c r="G580" s="97">
        <v>6.3</v>
      </c>
      <c r="H580" s="98"/>
    </row>
    <row r="581" spans="1:8" x14ac:dyDescent="0.25">
      <c r="A581" s="1" t="s">
        <v>4</v>
      </c>
      <c r="B581" s="2" t="s">
        <v>4</v>
      </c>
      <c r="C581" s="2" t="s">
        <v>4</v>
      </c>
      <c r="D581" s="96" t="s">
        <v>1571</v>
      </c>
      <c r="E581" s="388" t="s">
        <v>4</v>
      </c>
      <c r="F581" s="388"/>
      <c r="G581" s="97">
        <v>1.8</v>
      </c>
      <c r="H581" s="79" t="s">
        <v>4</v>
      </c>
    </row>
    <row r="582" spans="1:8" x14ac:dyDescent="0.25">
      <c r="A582" s="1" t="s">
        <v>4</v>
      </c>
      <c r="B582" s="2" t="s">
        <v>4</v>
      </c>
      <c r="C582" s="2" t="s">
        <v>4</v>
      </c>
      <c r="D582" s="96" t="s">
        <v>1572</v>
      </c>
      <c r="E582" s="388" t="s">
        <v>4</v>
      </c>
      <c r="F582" s="388"/>
      <c r="G582" s="97">
        <v>3</v>
      </c>
      <c r="H582" s="79" t="s">
        <v>4</v>
      </c>
    </row>
    <row r="583" spans="1:8" x14ac:dyDescent="0.25">
      <c r="A583" s="1" t="s">
        <v>4</v>
      </c>
      <c r="B583" s="2" t="s">
        <v>4</v>
      </c>
      <c r="C583" s="2" t="s">
        <v>4</v>
      </c>
      <c r="D583" s="96" t="s">
        <v>1573</v>
      </c>
      <c r="E583" s="388" t="s">
        <v>4</v>
      </c>
      <c r="F583" s="388"/>
      <c r="G583" s="97">
        <v>4.4000000000000004</v>
      </c>
      <c r="H583" s="79" t="s">
        <v>4</v>
      </c>
    </row>
    <row r="584" spans="1:8" x14ac:dyDescent="0.25">
      <c r="A584" s="1" t="s">
        <v>4</v>
      </c>
      <c r="B584" s="2" t="s">
        <v>4</v>
      </c>
      <c r="C584" s="2" t="s">
        <v>4</v>
      </c>
      <c r="D584" s="96" t="s">
        <v>1574</v>
      </c>
      <c r="E584" s="388" t="s">
        <v>4</v>
      </c>
      <c r="F584" s="388"/>
      <c r="G584" s="97">
        <v>0.75</v>
      </c>
      <c r="H584" s="79" t="s">
        <v>4</v>
      </c>
    </row>
    <row r="585" spans="1:8" x14ac:dyDescent="0.25">
      <c r="A585" s="1" t="s">
        <v>4</v>
      </c>
      <c r="B585" s="2" t="s">
        <v>4</v>
      </c>
      <c r="C585" s="2" t="s">
        <v>4</v>
      </c>
      <c r="D585" s="96" t="s">
        <v>1575</v>
      </c>
      <c r="E585" s="388" t="s">
        <v>4</v>
      </c>
      <c r="F585" s="388"/>
      <c r="G585" s="97">
        <v>0.5</v>
      </c>
      <c r="H585" s="79" t="s">
        <v>4</v>
      </c>
    </row>
    <row r="586" spans="1:8" x14ac:dyDescent="0.25">
      <c r="A586" s="1" t="s">
        <v>836</v>
      </c>
      <c r="B586" s="2" t="s">
        <v>89</v>
      </c>
      <c r="C586" s="2" t="s">
        <v>837</v>
      </c>
      <c r="D586" s="280" t="s">
        <v>838</v>
      </c>
      <c r="E586" s="280"/>
      <c r="F586" s="2" t="s">
        <v>333</v>
      </c>
      <c r="G586" s="37">
        <v>12.2</v>
      </c>
      <c r="H586" s="38">
        <v>0</v>
      </c>
    </row>
    <row r="587" spans="1:8" x14ac:dyDescent="0.25">
      <c r="A587" s="85"/>
      <c r="D587" s="96" t="s">
        <v>1576</v>
      </c>
      <c r="E587" s="388" t="s">
        <v>4</v>
      </c>
      <c r="F587" s="388"/>
      <c r="G587" s="97">
        <v>12.2</v>
      </c>
      <c r="H587" s="98"/>
    </row>
    <row r="588" spans="1:8" x14ac:dyDescent="0.25">
      <c r="A588" s="1" t="s">
        <v>839</v>
      </c>
      <c r="B588" s="2" t="s">
        <v>89</v>
      </c>
      <c r="C588" s="2" t="s">
        <v>840</v>
      </c>
      <c r="D588" s="280" t="s">
        <v>841</v>
      </c>
      <c r="E588" s="280"/>
      <c r="F588" s="2" t="s">
        <v>333</v>
      </c>
      <c r="G588" s="37">
        <v>5.8</v>
      </c>
      <c r="H588" s="38">
        <v>0</v>
      </c>
    </row>
    <row r="589" spans="1:8" x14ac:dyDescent="0.25">
      <c r="A589" s="85"/>
      <c r="D589" s="96" t="s">
        <v>1577</v>
      </c>
      <c r="E589" s="388" t="s">
        <v>4</v>
      </c>
      <c r="F589" s="388"/>
      <c r="G589" s="97">
        <v>5.8</v>
      </c>
      <c r="H589" s="98"/>
    </row>
    <row r="590" spans="1:8" x14ac:dyDescent="0.25">
      <c r="A590" s="1" t="s">
        <v>842</v>
      </c>
      <c r="B590" s="2" t="s">
        <v>89</v>
      </c>
      <c r="C590" s="2" t="s">
        <v>843</v>
      </c>
      <c r="D590" s="280" t="s">
        <v>844</v>
      </c>
      <c r="E590" s="280"/>
      <c r="F590" s="2" t="s">
        <v>333</v>
      </c>
      <c r="G590" s="37">
        <v>17</v>
      </c>
      <c r="H590" s="38">
        <v>0</v>
      </c>
    </row>
    <row r="591" spans="1:8" x14ac:dyDescent="0.25">
      <c r="A591" s="85"/>
      <c r="D591" s="96" t="s">
        <v>97</v>
      </c>
      <c r="E591" s="388" t="s">
        <v>4</v>
      </c>
      <c r="F591" s="388"/>
      <c r="G591" s="97">
        <v>17</v>
      </c>
      <c r="H591" s="98"/>
    </row>
    <row r="592" spans="1:8" x14ac:dyDescent="0.25">
      <c r="A592" s="1" t="s">
        <v>845</v>
      </c>
      <c r="B592" s="2" t="s">
        <v>89</v>
      </c>
      <c r="C592" s="2" t="s">
        <v>846</v>
      </c>
      <c r="D592" s="280" t="s">
        <v>847</v>
      </c>
      <c r="E592" s="280"/>
      <c r="F592" s="2" t="s">
        <v>329</v>
      </c>
      <c r="G592" s="37">
        <v>1</v>
      </c>
      <c r="H592" s="38">
        <v>0</v>
      </c>
    </row>
    <row r="593" spans="1:8" x14ac:dyDescent="0.25">
      <c r="A593" s="85"/>
      <c r="D593" s="96" t="s">
        <v>219</v>
      </c>
      <c r="E593" s="388" t="s">
        <v>4</v>
      </c>
      <c r="F593" s="388"/>
      <c r="G593" s="97">
        <v>1</v>
      </c>
      <c r="H593" s="98"/>
    </row>
    <row r="594" spans="1:8" x14ac:dyDescent="0.25">
      <c r="A594" s="1" t="s">
        <v>848</v>
      </c>
      <c r="B594" s="2" t="s">
        <v>89</v>
      </c>
      <c r="C594" s="2" t="s">
        <v>849</v>
      </c>
      <c r="D594" s="280" t="s">
        <v>850</v>
      </c>
      <c r="E594" s="280"/>
      <c r="F594" s="2" t="s">
        <v>333</v>
      </c>
      <c r="G594" s="37">
        <v>4.8</v>
      </c>
      <c r="H594" s="38">
        <v>0</v>
      </c>
    </row>
    <row r="595" spans="1:8" x14ac:dyDescent="0.25">
      <c r="A595" s="85"/>
      <c r="D595" s="96" t="s">
        <v>1578</v>
      </c>
      <c r="E595" s="388" t="s">
        <v>4</v>
      </c>
      <c r="F595" s="388"/>
      <c r="G595" s="97">
        <v>4.8</v>
      </c>
      <c r="H595" s="98"/>
    </row>
    <row r="596" spans="1:8" x14ac:dyDescent="0.25">
      <c r="A596" s="1" t="s">
        <v>851</v>
      </c>
      <c r="B596" s="2" t="s">
        <v>89</v>
      </c>
      <c r="C596" s="2" t="s">
        <v>852</v>
      </c>
      <c r="D596" s="280" t="s">
        <v>853</v>
      </c>
      <c r="E596" s="280"/>
      <c r="F596" s="2" t="s">
        <v>333</v>
      </c>
      <c r="G596" s="37">
        <v>6.3</v>
      </c>
      <c r="H596" s="38">
        <v>0</v>
      </c>
    </row>
    <row r="597" spans="1:8" x14ac:dyDescent="0.25">
      <c r="A597" s="85"/>
      <c r="D597" s="96" t="s">
        <v>1579</v>
      </c>
      <c r="E597" s="388" t="s">
        <v>4</v>
      </c>
      <c r="F597" s="388"/>
      <c r="G597" s="97">
        <v>6.3</v>
      </c>
      <c r="H597" s="98"/>
    </row>
    <row r="598" spans="1:8" x14ac:dyDescent="0.25">
      <c r="A598" s="1" t="s">
        <v>854</v>
      </c>
      <c r="B598" s="2" t="s">
        <v>89</v>
      </c>
      <c r="C598" s="2" t="s">
        <v>855</v>
      </c>
      <c r="D598" s="280" t="s">
        <v>856</v>
      </c>
      <c r="E598" s="280"/>
      <c r="F598" s="2" t="s">
        <v>329</v>
      </c>
      <c r="G598" s="37">
        <v>8</v>
      </c>
      <c r="H598" s="38">
        <v>0</v>
      </c>
    </row>
    <row r="599" spans="1:8" x14ac:dyDescent="0.25">
      <c r="A599" s="85"/>
      <c r="D599" s="96" t="s">
        <v>1580</v>
      </c>
      <c r="E599" s="388" t="s">
        <v>4</v>
      </c>
      <c r="F599" s="388"/>
      <c r="G599" s="97">
        <v>8</v>
      </c>
      <c r="H599" s="98"/>
    </row>
    <row r="600" spans="1:8" x14ac:dyDescent="0.25">
      <c r="A600" s="1" t="s">
        <v>857</v>
      </c>
      <c r="B600" s="2" t="s">
        <v>89</v>
      </c>
      <c r="C600" s="2" t="s">
        <v>858</v>
      </c>
      <c r="D600" s="280" t="s">
        <v>859</v>
      </c>
      <c r="E600" s="280"/>
      <c r="F600" s="2" t="s">
        <v>329</v>
      </c>
      <c r="G600" s="37">
        <v>2</v>
      </c>
      <c r="H600" s="38">
        <v>0</v>
      </c>
    </row>
    <row r="601" spans="1:8" x14ac:dyDescent="0.25">
      <c r="A601" s="85"/>
      <c r="D601" s="96" t="s">
        <v>227</v>
      </c>
      <c r="E601" s="388" t="s">
        <v>4</v>
      </c>
      <c r="F601" s="388"/>
      <c r="G601" s="97">
        <v>2</v>
      </c>
      <c r="H601" s="98"/>
    </row>
    <row r="602" spans="1:8" x14ac:dyDescent="0.25">
      <c r="A602" s="1" t="s">
        <v>860</v>
      </c>
      <c r="B602" s="2" t="s">
        <v>89</v>
      </c>
      <c r="C602" s="2" t="s">
        <v>861</v>
      </c>
      <c r="D602" s="280" t="s">
        <v>862</v>
      </c>
      <c r="E602" s="280"/>
      <c r="F602" s="2" t="s">
        <v>329</v>
      </c>
      <c r="G602" s="37">
        <v>6</v>
      </c>
      <c r="H602" s="38">
        <v>0</v>
      </c>
    </row>
    <row r="603" spans="1:8" x14ac:dyDescent="0.25">
      <c r="A603" s="85"/>
      <c r="D603" s="96" t="s">
        <v>240</v>
      </c>
      <c r="E603" s="388" t="s">
        <v>4</v>
      </c>
      <c r="F603" s="388"/>
      <c r="G603" s="97">
        <v>6</v>
      </c>
      <c r="H603" s="98"/>
    </row>
    <row r="604" spans="1:8" x14ac:dyDescent="0.25">
      <c r="A604" s="1" t="s">
        <v>863</v>
      </c>
      <c r="B604" s="2" t="s">
        <v>89</v>
      </c>
      <c r="C604" s="2" t="s">
        <v>864</v>
      </c>
      <c r="D604" s="280" t="s">
        <v>865</v>
      </c>
      <c r="E604" s="280"/>
      <c r="F604" s="2" t="s">
        <v>329</v>
      </c>
      <c r="G604" s="37">
        <v>24</v>
      </c>
      <c r="H604" s="38">
        <v>0</v>
      </c>
    </row>
    <row r="605" spans="1:8" x14ac:dyDescent="0.25">
      <c r="A605" s="85"/>
      <c r="D605" s="96" t="s">
        <v>1581</v>
      </c>
      <c r="E605" s="388" t="s">
        <v>4</v>
      </c>
      <c r="F605" s="388"/>
      <c r="G605" s="97">
        <v>24</v>
      </c>
      <c r="H605" s="98"/>
    </row>
    <row r="606" spans="1:8" x14ac:dyDescent="0.25">
      <c r="A606" s="1" t="s">
        <v>866</v>
      </c>
      <c r="B606" s="2" t="s">
        <v>89</v>
      </c>
      <c r="C606" s="2" t="s">
        <v>867</v>
      </c>
      <c r="D606" s="280" t="s">
        <v>868</v>
      </c>
      <c r="E606" s="280"/>
      <c r="F606" s="2" t="s">
        <v>329</v>
      </c>
      <c r="G606" s="37">
        <v>7</v>
      </c>
      <c r="H606" s="38">
        <v>0</v>
      </c>
    </row>
    <row r="607" spans="1:8" x14ac:dyDescent="0.25">
      <c r="A607" s="85"/>
      <c r="D607" s="96" t="s">
        <v>243</v>
      </c>
      <c r="E607" s="388" t="s">
        <v>4</v>
      </c>
      <c r="F607" s="388"/>
      <c r="G607" s="97">
        <v>7</v>
      </c>
      <c r="H607" s="98"/>
    </row>
    <row r="608" spans="1:8" x14ac:dyDescent="0.25">
      <c r="A608" s="1" t="s">
        <v>869</v>
      </c>
      <c r="B608" s="2" t="s">
        <v>89</v>
      </c>
      <c r="C608" s="2" t="s">
        <v>870</v>
      </c>
      <c r="D608" s="280" t="s">
        <v>871</v>
      </c>
      <c r="E608" s="280"/>
      <c r="F608" s="2" t="s">
        <v>329</v>
      </c>
      <c r="G608" s="37">
        <v>6</v>
      </c>
      <c r="H608" s="38">
        <v>0</v>
      </c>
    </row>
    <row r="609" spans="1:8" x14ac:dyDescent="0.25">
      <c r="A609" s="85"/>
      <c r="D609" s="96" t="s">
        <v>240</v>
      </c>
      <c r="E609" s="388" t="s">
        <v>4</v>
      </c>
      <c r="F609" s="388"/>
      <c r="G609" s="97">
        <v>6</v>
      </c>
      <c r="H609" s="98"/>
    </row>
    <row r="610" spans="1:8" x14ac:dyDescent="0.25">
      <c r="A610" s="1" t="s">
        <v>872</v>
      </c>
      <c r="B610" s="2" t="s">
        <v>89</v>
      </c>
      <c r="C610" s="2" t="s">
        <v>873</v>
      </c>
      <c r="D610" s="280" t="s">
        <v>874</v>
      </c>
      <c r="E610" s="280"/>
      <c r="F610" s="2" t="s">
        <v>329</v>
      </c>
      <c r="G610" s="37">
        <v>18</v>
      </c>
      <c r="H610" s="38">
        <v>0</v>
      </c>
    </row>
    <row r="611" spans="1:8" x14ac:dyDescent="0.25">
      <c r="A611" s="85"/>
      <c r="D611" s="96" t="s">
        <v>99</v>
      </c>
      <c r="E611" s="388" t="s">
        <v>4</v>
      </c>
      <c r="F611" s="388"/>
      <c r="G611" s="97">
        <v>18</v>
      </c>
      <c r="H611" s="98"/>
    </row>
    <row r="612" spans="1:8" x14ac:dyDescent="0.25">
      <c r="A612" s="1" t="s">
        <v>875</v>
      </c>
      <c r="B612" s="2" t="s">
        <v>89</v>
      </c>
      <c r="C612" s="2" t="s">
        <v>876</v>
      </c>
      <c r="D612" s="280" t="s">
        <v>877</v>
      </c>
      <c r="E612" s="280"/>
      <c r="F612" s="2" t="s">
        <v>329</v>
      </c>
      <c r="G612" s="37">
        <v>18</v>
      </c>
      <c r="H612" s="38">
        <v>0</v>
      </c>
    </row>
    <row r="613" spans="1:8" x14ac:dyDescent="0.25">
      <c r="A613" s="85"/>
      <c r="D613" s="96" t="s">
        <v>99</v>
      </c>
      <c r="E613" s="388" t="s">
        <v>4</v>
      </c>
      <c r="F613" s="388"/>
      <c r="G613" s="97">
        <v>18</v>
      </c>
      <c r="H613" s="98"/>
    </row>
    <row r="614" spans="1:8" x14ac:dyDescent="0.25">
      <c r="A614" s="1" t="s">
        <v>878</v>
      </c>
      <c r="B614" s="2" t="s">
        <v>89</v>
      </c>
      <c r="C614" s="2" t="s">
        <v>879</v>
      </c>
      <c r="D614" s="280" t="s">
        <v>880</v>
      </c>
      <c r="E614" s="280"/>
      <c r="F614" s="2" t="s">
        <v>329</v>
      </c>
      <c r="G614" s="37">
        <v>2</v>
      </c>
      <c r="H614" s="38">
        <v>0</v>
      </c>
    </row>
    <row r="615" spans="1:8" x14ac:dyDescent="0.25">
      <c r="A615" s="85"/>
      <c r="D615" s="96" t="s">
        <v>227</v>
      </c>
      <c r="E615" s="388" t="s">
        <v>4</v>
      </c>
      <c r="F615" s="388"/>
      <c r="G615" s="97">
        <v>2</v>
      </c>
      <c r="H615" s="98"/>
    </row>
    <row r="616" spans="1:8" x14ac:dyDescent="0.25">
      <c r="A616" s="1" t="s">
        <v>881</v>
      </c>
      <c r="B616" s="2" t="s">
        <v>89</v>
      </c>
      <c r="C616" s="2" t="s">
        <v>882</v>
      </c>
      <c r="D616" s="280" t="s">
        <v>883</v>
      </c>
      <c r="E616" s="280"/>
      <c r="F616" s="2" t="s">
        <v>329</v>
      </c>
      <c r="G616" s="37">
        <v>2</v>
      </c>
      <c r="H616" s="38">
        <v>0</v>
      </c>
    </row>
    <row r="617" spans="1:8" x14ac:dyDescent="0.25">
      <c r="A617" s="85"/>
      <c r="D617" s="96" t="s">
        <v>227</v>
      </c>
      <c r="E617" s="388" t="s">
        <v>4</v>
      </c>
      <c r="F617" s="388"/>
      <c r="G617" s="97">
        <v>2</v>
      </c>
      <c r="H617" s="98"/>
    </row>
    <row r="618" spans="1:8" x14ac:dyDescent="0.25">
      <c r="A618" s="1" t="s">
        <v>884</v>
      </c>
      <c r="B618" s="2" t="s">
        <v>89</v>
      </c>
      <c r="C618" s="2" t="s">
        <v>885</v>
      </c>
      <c r="D618" s="280" t="s">
        <v>886</v>
      </c>
      <c r="E618" s="280"/>
      <c r="F618" s="2" t="s">
        <v>63</v>
      </c>
      <c r="G618" s="37">
        <v>711.7328</v>
      </c>
      <c r="H618" s="38">
        <v>0</v>
      </c>
    </row>
    <row r="619" spans="1:8" x14ac:dyDescent="0.25">
      <c r="A619" s="85"/>
      <c r="D619" s="96" t="s">
        <v>1582</v>
      </c>
      <c r="E619" s="388" t="s">
        <v>4</v>
      </c>
      <c r="F619" s="388"/>
      <c r="G619" s="97">
        <v>711.7328</v>
      </c>
      <c r="H619" s="98"/>
    </row>
    <row r="620" spans="1:8" x14ac:dyDescent="0.25">
      <c r="A620" s="1" t="s">
        <v>887</v>
      </c>
      <c r="B620" s="2" t="s">
        <v>89</v>
      </c>
      <c r="C620" s="2" t="s">
        <v>888</v>
      </c>
      <c r="D620" s="280" t="s">
        <v>889</v>
      </c>
      <c r="E620" s="280"/>
      <c r="F620" s="2" t="s">
        <v>329</v>
      </c>
      <c r="G620" s="37">
        <v>1</v>
      </c>
      <c r="H620" s="38">
        <v>0</v>
      </c>
    </row>
    <row r="621" spans="1:8" x14ac:dyDescent="0.25">
      <c r="A621" s="85"/>
      <c r="D621" s="96" t="s">
        <v>219</v>
      </c>
      <c r="E621" s="388" t="s">
        <v>4</v>
      </c>
      <c r="F621" s="388"/>
      <c r="G621" s="97">
        <v>1</v>
      </c>
      <c r="H621" s="98"/>
    </row>
    <row r="622" spans="1:8" x14ac:dyDescent="0.25">
      <c r="A622" s="1" t="s">
        <v>891</v>
      </c>
      <c r="B622" s="2" t="s">
        <v>89</v>
      </c>
      <c r="C622" s="2" t="s">
        <v>892</v>
      </c>
      <c r="D622" s="280" t="s">
        <v>893</v>
      </c>
      <c r="E622" s="280"/>
      <c r="F622" s="2" t="s">
        <v>329</v>
      </c>
      <c r="G622" s="37">
        <v>1</v>
      </c>
      <c r="H622" s="38">
        <v>0</v>
      </c>
    </row>
    <row r="623" spans="1:8" x14ac:dyDescent="0.25">
      <c r="A623" s="85"/>
      <c r="D623" s="96" t="s">
        <v>219</v>
      </c>
      <c r="E623" s="388" t="s">
        <v>4</v>
      </c>
      <c r="F623" s="388"/>
      <c r="G623" s="97">
        <v>1</v>
      </c>
      <c r="H623" s="98"/>
    </row>
    <row r="624" spans="1:8" x14ac:dyDescent="0.25">
      <c r="A624" s="1" t="s">
        <v>894</v>
      </c>
      <c r="B624" s="2" t="s">
        <v>89</v>
      </c>
      <c r="C624" s="2" t="s">
        <v>895</v>
      </c>
      <c r="D624" s="280" t="s">
        <v>896</v>
      </c>
      <c r="E624" s="280"/>
      <c r="F624" s="2" t="s">
        <v>329</v>
      </c>
      <c r="G624" s="37">
        <v>3</v>
      </c>
      <c r="H624" s="38">
        <v>0</v>
      </c>
    </row>
    <row r="625" spans="1:8" x14ac:dyDescent="0.25">
      <c r="A625" s="85"/>
      <c r="D625" s="96" t="s">
        <v>219</v>
      </c>
      <c r="E625" s="388" t="s">
        <v>4</v>
      </c>
      <c r="F625" s="388"/>
      <c r="G625" s="97">
        <v>1</v>
      </c>
      <c r="H625" s="98"/>
    </row>
    <row r="626" spans="1:8" x14ac:dyDescent="0.25">
      <c r="A626" s="1" t="s">
        <v>4</v>
      </c>
      <c r="B626" s="2" t="s">
        <v>4</v>
      </c>
      <c r="C626" s="2" t="s">
        <v>4</v>
      </c>
      <c r="D626" s="96" t="s">
        <v>219</v>
      </c>
      <c r="E626" s="388" t="s">
        <v>4</v>
      </c>
      <c r="F626" s="388"/>
      <c r="G626" s="97">
        <v>1</v>
      </c>
      <c r="H626" s="79" t="s">
        <v>4</v>
      </c>
    </row>
    <row r="627" spans="1:8" x14ac:dyDescent="0.25">
      <c r="A627" s="1" t="s">
        <v>4</v>
      </c>
      <c r="B627" s="2" t="s">
        <v>4</v>
      </c>
      <c r="C627" s="2" t="s">
        <v>4</v>
      </c>
      <c r="D627" s="96" t="s">
        <v>219</v>
      </c>
      <c r="E627" s="388" t="s">
        <v>4</v>
      </c>
      <c r="F627" s="388"/>
      <c r="G627" s="97">
        <v>1</v>
      </c>
      <c r="H627" s="79" t="s">
        <v>4</v>
      </c>
    </row>
    <row r="628" spans="1:8" x14ac:dyDescent="0.25">
      <c r="A628" s="1" t="s">
        <v>897</v>
      </c>
      <c r="B628" s="2" t="s">
        <v>89</v>
      </c>
      <c r="C628" s="2" t="s">
        <v>898</v>
      </c>
      <c r="D628" s="280" t="s">
        <v>899</v>
      </c>
      <c r="E628" s="280"/>
      <c r="F628" s="2" t="s">
        <v>329</v>
      </c>
      <c r="G628" s="37">
        <v>3</v>
      </c>
      <c r="H628" s="38">
        <v>0</v>
      </c>
    </row>
    <row r="629" spans="1:8" x14ac:dyDescent="0.25">
      <c r="A629" s="85"/>
      <c r="D629" s="96" t="s">
        <v>219</v>
      </c>
      <c r="E629" s="388" t="s">
        <v>1583</v>
      </c>
      <c r="F629" s="388"/>
      <c r="G629" s="97">
        <v>1</v>
      </c>
      <c r="H629" s="98"/>
    </row>
    <row r="630" spans="1:8" x14ac:dyDescent="0.25">
      <c r="A630" s="1" t="s">
        <v>4</v>
      </c>
      <c r="B630" s="2" t="s">
        <v>4</v>
      </c>
      <c r="C630" s="2" t="s">
        <v>4</v>
      </c>
      <c r="D630" s="96" t="s">
        <v>219</v>
      </c>
      <c r="E630" s="388" t="s">
        <v>1584</v>
      </c>
      <c r="F630" s="388"/>
      <c r="G630" s="97">
        <v>1</v>
      </c>
      <c r="H630" s="79" t="s">
        <v>4</v>
      </c>
    </row>
    <row r="631" spans="1:8" x14ac:dyDescent="0.25">
      <c r="A631" s="1" t="s">
        <v>4</v>
      </c>
      <c r="B631" s="2" t="s">
        <v>4</v>
      </c>
      <c r="C631" s="2" t="s">
        <v>4</v>
      </c>
      <c r="D631" s="96" t="s">
        <v>219</v>
      </c>
      <c r="E631" s="388" t="s">
        <v>1585</v>
      </c>
      <c r="F631" s="388"/>
      <c r="G631" s="97">
        <v>1</v>
      </c>
      <c r="H631" s="79" t="s">
        <v>4</v>
      </c>
    </row>
    <row r="632" spans="1:8" x14ac:dyDescent="0.25">
      <c r="A632" s="1" t="s">
        <v>900</v>
      </c>
      <c r="B632" s="2" t="s">
        <v>89</v>
      </c>
      <c r="C632" s="2" t="s">
        <v>901</v>
      </c>
      <c r="D632" s="280" t="s">
        <v>902</v>
      </c>
      <c r="E632" s="280"/>
      <c r="F632" s="2" t="s">
        <v>329</v>
      </c>
      <c r="G632" s="37">
        <v>1</v>
      </c>
      <c r="H632" s="38">
        <v>0</v>
      </c>
    </row>
    <row r="633" spans="1:8" x14ac:dyDescent="0.25">
      <c r="A633" s="85"/>
      <c r="D633" s="96" t="s">
        <v>219</v>
      </c>
      <c r="E633" s="388" t="s">
        <v>4</v>
      </c>
      <c r="F633" s="388"/>
      <c r="G633" s="97">
        <v>1</v>
      </c>
      <c r="H633" s="98"/>
    </row>
    <row r="634" spans="1:8" x14ac:dyDescent="0.25">
      <c r="A634" s="1" t="s">
        <v>903</v>
      </c>
      <c r="B634" s="2" t="s">
        <v>89</v>
      </c>
      <c r="C634" s="2" t="s">
        <v>904</v>
      </c>
      <c r="D634" s="280" t="s">
        <v>905</v>
      </c>
      <c r="E634" s="280"/>
      <c r="F634" s="2" t="s">
        <v>329</v>
      </c>
      <c r="G634" s="37">
        <v>1</v>
      </c>
      <c r="H634" s="38">
        <v>0</v>
      </c>
    </row>
    <row r="635" spans="1:8" x14ac:dyDescent="0.25">
      <c r="A635" s="85"/>
      <c r="D635" s="96" t="s">
        <v>219</v>
      </c>
      <c r="E635" s="388" t="s">
        <v>4</v>
      </c>
      <c r="F635" s="388"/>
      <c r="G635" s="97">
        <v>1</v>
      </c>
      <c r="H635" s="98"/>
    </row>
    <row r="636" spans="1:8" x14ac:dyDescent="0.25">
      <c r="A636" s="1" t="s">
        <v>906</v>
      </c>
      <c r="B636" s="2" t="s">
        <v>89</v>
      </c>
      <c r="C636" s="2" t="s">
        <v>907</v>
      </c>
      <c r="D636" s="280" t="s">
        <v>908</v>
      </c>
      <c r="E636" s="280"/>
      <c r="F636" s="2" t="s">
        <v>329</v>
      </c>
      <c r="G636" s="37">
        <v>1</v>
      </c>
      <c r="H636" s="38">
        <v>0</v>
      </c>
    </row>
    <row r="637" spans="1:8" x14ac:dyDescent="0.25">
      <c r="A637" s="85"/>
      <c r="D637" s="96" t="s">
        <v>219</v>
      </c>
      <c r="E637" s="388" t="s">
        <v>4</v>
      </c>
      <c r="F637" s="388"/>
      <c r="G637" s="97">
        <v>1</v>
      </c>
      <c r="H637" s="98"/>
    </row>
    <row r="638" spans="1:8" x14ac:dyDescent="0.25">
      <c r="A638" s="1" t="s">
        <v>909</v>
      </c>
      <c r="B638" s="2" t="s">
        <v>89</v>
      </c>
      <c r="C638" s="2" t="s">
        <v>910</v>
      </c>
      <c r="D638" s="280" t="s">
        <v>911</v>
      </c>
      <c r="E638" s="280"/>
      <c r="F638" s="2" t="s">
        <v>329</v>
      </c>
      <c r="G638" s="37">
        <v>8</v>
      </c>
      <c r="H638" s="38">
        <v>0</v>
      </c>
    </row>
    <row r="639" spans="1:8" x14ac:dyDescent="0.25">
      <c r="A639" s="85"/>
      <c r="D639" s="96" t="s">
        <v>240</v>
      </c>
      <c r="E639" s="388" t="s">
        <v>1586</v>
      </c>
      <c r="F639" s="388"/>
      <c r="G639" s="97">
        <v>6</v>
      </c>
      <c r="H639" s="98"/>
    </row>
    <row r="640" spans="1:8" x14ac:dyDescent="0.25">
      <c r="A640" s="1" t="s">
        <v>4</v>
      </c>
      <c r="B640" s="2" t="s">
        <v>4</v>
      </c>
      <c r="C640" s="2" t="s">
        <v>4</v>
      </c>
      <c r="D640" s="96" t="s">
        <v>227</v>
      </c>
      <c r="E640" s="388" t="s">
        <v>1587</v>
      </c>
      <c r="F640" s="388"/>
      <c r="G640" s="97">
        <v>2</v>
      </c>
      <c r="H640" s="79" t="s">
        <v>4</v>
      </c>
    </row>
    <row r="641" spans="1:8" x14ac:dyDescent="0.25">
      <c r="A641" s="1" t="s">
        <v>912</v>
      </c>
      <c r="B641" s="2" t="s">
        <v>89</v>
      </c>
      <c r="C641" s="2" t="s">
        <v>913</v>
      </c>
      <c r="D641" s="280" t="s">
        <v>914</v>
      </c>
      <c r="E641" s="280"/>
      <c r="F641" s="2" t="s">
        <v>329</v>
      </c>
      <c r="G641" s="37">
        <v>8</v>
      </c>
      <c r="H641" s="38">
        <v>0</v>
      </c>
    </row>
    <row r="642" spans="1:8" x14ac:dyDescent="0.25">
      <c r="A642" s="85"/>
      <c r="D642" s="96" t="s">
        <v>240</v>
      </c>
      <c r="E642" s="388" t="s">
        <v>1586</v>
      </c>
      <c r="F642" s="388"/>
      <c r="G642" s="97">
        <v>6</v>
      </c>
      <c r="H642" s="98"/>
    </row>
    <row r="643" spans="1:8" x14ac:dyDescent="0.25">
      <c r="A643" s="1" t="s">
        <v>4</v>
      </c>
      <c r="B643" s="2" t="s">
        <v>4</v>
      </c>
      <c r="C643" s="2" t="s">
        <v>4</v>
      </c>
      <c r="D643" s="96" t="s">
        <v>227</v>
      </c>
      <c r="E643" s="388" t="s">
        <v>1587</v>
      </c>
      <c r="F643" s="388"/>
      <c r="G643" s="97">
        <v>2</v>
      </c>
      <c r="H643" s="79" t="s">
        <v>4</v>
      </c>
    </row>
    <row r="644" spans="1:8" x14ac:dyDescent="0.25">
      <c r="A644" s="1" t="s">
        <v>915</v>
      </c>
      <c r="B644" s="2" t="s">
        <v>89</v>
      </c>
      <c r="C644" s="2" t="s">
        <v>916</v>
      </c>
      <c r="D644" s="280" t="s">
        <v>917</v>
      </c>
      <c r="E644" s="280"/>
      <c r="F644" s="2" t="s">
        <v>329</v>
      </c>
      <c r="G644" s="37">
        <v>8</v>
      </c>
      <c r="H644" s="38">
        <v>0</v>
      </c>
    </row>
    <row r="645" spans="1:8" x14ac:dyDescent="0.25">
      <c r="A645" s="85"/>
      <c r="D645" s="96" t="s">
        <v>240</v>
      </c>
      <c r="E645" s="388" t="s">
        <v>1586</v>
      </c>
      <c r="F645" s="388"/>
      <c r="G645" s="97">
        <v>6</v>
      </c>
      <c r="H645" s="98"/>
    </row>
    <row r="646" spans="1:8" x14ac:dyDescent="0.25">
      <c r="A646" s="1" t="s">
        <v>4</v>
      </c>
      <c r="B646" s="2" t="s">
        <v>4</v>
      </c>
      <c r="C646" s="2" t="s">
        <v>4</v>
      </c>
      <c r="D646" s="96" t="s">
        <v>227</v>
      </c>
      <c r="E646" s="388" t="s">
        <v>1587</v>
      </c>
      <c r="F646" s="388"/>
      <c r="G646" s="97">
        <v>2</v>
      </c>
      <c r="H646" s="79" t="s">
        <v>4</v>
      </c>
    </row>
    <row r="647" spans="1:8" x14ac:dyDescent="0.25">
      <c r="A647" s="1" t="s">
        <v>918</v>
      </c>
      <c r="B647" s="2" t="s">
        <v>89</v>
      </c>
      <c r="C647" s="2" t="s">
        <v>919</v>
      </c>
      <c r="D647" s="280" t="s">
        <v>920</v>
      </c>
      <c r="E647" s="280"/>
      <c r="F647" s="2" t="s">
        <v>329</v>
      </c>
      <c r="G647" s="37">
        <v>1</v>
      </c>
      <c r="H647" s="38">
        <v>0</v>
      </c>
    </row>
    <row r="648" spans="1:8" x14ac:dyDescent="0.25">
      <c r="A648" s="85"/>
      <c r="D648" s="96" t="s">
        <v>219</v>
      </c>
      <c r="E648" s="388" t="s">
        <v>4</v>
      </c>
      <c r="F648" s="388"/>
      <c r="G648" s="97">
        <v>1</v>
      </c>
      <c r="H648" s="98"/>
    </row>
    <row r="649" spans="1:8" x14ac:dyDescent="0.25">
      <c r="A649" s="1" t="s">
        <v>921</v>
      </c>
      <c r="B649" s="2" t="s">
        <v>89</v>
      </c>
      <c r="C649" s="2" t="s">
        <v>922</v>
      </c>
      <c r="D649" s="280" t="s">
        <v>923</v>
      </c>
      <c r="E649" s="280"/>
      <c r="F649" s="2" t="s">
        <v>329</v>
      </c>
      <c r="G649" s="37">
        <v>1</v>
      </c>
      <c r="H649" s="38">
        <v>0</v>
      </c>
    </row>
    <row r="650" spans="1:8" x14ac:dyDescent="0.25">
      <c r="A650" s="85"/>
      <c r="D650" s="96" t="s">
        <v>219</v>
      </c>
      <c r="E650" s="388" t="s">
        <v>1586</v>
      </c>
      <c r="F650" s="388"/>
      <c r="G650" s="97">
        <v>1</v>
      </c>
      <c r="H650" s="98"/>
    </row>
    <row r="651" spans="1:8" x14ac:dyDescent="0.25">
      <c r="A651" s="1" t="s">
        <v>924</v>
      </c>
      <c r="B651" s="2" t="s">
        <v>89</v>
      </c>
      <c r="C651" s="2" t="s">
        <v>925</v>
      </c>
      <c r="D651" s="280" t="s">
        <v>926</v>
      </c>
      <c r="E651" s="280"/>
      <c r="F651" s="2" t="s">
        <v>329</v>
      </c>
      <c r="G651" s="37">
        <v>1</v>
      </c>
      <c r="H651" s="38">
        <v>0</v>
      </c>
    </row>
    <row r="652" spans="1:8" x14ac:dyDescent="0.25">
      <c r="A652" s="85"/>
      <c r="D652" s="96" t="s">
        <v>219</v>
      </c>
      <c r="E652" s="388" t="s">
        <v>1586</v>
      </c>
      <c r="F652" s="388"/>
      <c r="G652" s="97">
        <v>1</v>
      </c>
      <c r="H652" s="98"/>
    </row>
    <row r="653" spans="1:8" x14ac:dyDescent="0.25">
      <c r="A653" s="1" t="s">
        <v>927</v>
      </c>
      <c r="B653" s="2" t="s">
        <v>89</v>
      </c>
      <c r="C653" s="2" t="s">
        <v>928</v>
      </c>
      <c r="D653" s="280" t="s">
        <v>929</v>
      </c>
      <c r="E653" s="280"/>
      <c r="F653" s="2" t="s">
        <v>329</v>
      </c>
      <c r="G653" s="37">
        <v>5</v>
      </c>
      <c r="H653" s="38">
        <v>0</v>
      </c>
    </row>
    <row r="654" spans="1:8" x14ac:dyDescent="0.25">
      <c r="A654" s="85"/>
      <c r="D654" s="96" t="s">
        <v>233</v>
      </c>
      <c r="E654" s="388" t="s">
        <v>1586</v>
      </c>
      <c r="F654" s="388"/>
      <c r="G654" s="97">
        <v>4</v>
      </c>
      <c r="H654" s="98"/>
    </row>
    <row r="655" spans="1:8" x14ac:dyDescent="0.25">
      <c r="A655" s="1" t="s">
        <v>4</v>
      </c>
      <c r="B655" s="2" t="s">
        <v>4</v>
      </c>
      <c r="C655" s="2" t="s">
        <v>4</v>
      </c>
      <c r="D655" s="96" t="s">
        <v>219</v>
      </c>
      <c r="E655" s="388" t="s">
        <v>1587</v>
      </c>
      <c r="F655" s="388"/>
      <c r="G655" s="97">
        <v>1</v>
      </c>
      <c r="H655" s="79" t="s">
        <v>4</v>
      </c>
    </row>
    <row r="656" spans="1:8" x14ac:dyDescent="0.25">
      <c r="A656" s="1" t="s">
        <v>930</v>
      </c>
      <c r="B656" s="2" t="s">
        <v>89</v>
      </c>
      <c r="C656" s="2" t="s">
        <v>931</v>
      </c>
      <c r="D656" s="280" t="s">
        <v>932</v>
      </c>
      <c r="E656" s="280"/>
      <c r="F656" s="2" t="s">
        <v>329</v>
      </c>
      <c r="G656" s="37">
        <v>5</v>
      </c>
      <c r="H656" s="38">
        <v>0</v>
      </c>
    </row>
    <row r="657" spans="1:8" x14ac:dyDescent="0.25">
      <c r="A657" s="85"/>
      <c r="D657" s="96" t="s">
        <v>233</v>
      </c>
      <c r="E657" s="388" t="s">
        <v>1586</v>
      </c>
      <c r="F657" s="388"/>
      <c r="G657" s="97">
        <v>4</v>
      </c>
      <c r="H657" s="98"/>
    </row>
    <row r="658" spans="1:8" x14ac:dyDescent="0.25">
      <c r="A658" s="1" t="s">
        <v>4</v>
      </c>
      <c r="B658" s="2" t="s">
        <v>4</v>
      </c>
      <c r="C658" s="2" t="s">
        <v>4</v>
      </c>
      <c r="D658" s="96" t="s">
        <v>219</v>
      </c>
      <c r="E658" s="388" t="s">
        <v>1587</v>
      </c>
      <c r="F658" s="388"/>
      <c r="G658" s="97">
        <v>1</v>
      </c>
      <c r="H658" s="79" t="s">
        <v>4</v>
      </c>
    </row>
    <row r="659" spans="1:8" x14ac:dyDescent="0.25">
      <c r="A659" s="1" t="s">
        <v>933</v>
      </c>
      <c r="B659" s="2" t="s">
        <v>89</v>
      </c>
      <c r="C659" s="2" t="s">
        <v>934</v>
      </c>
      <c r="D659" s="280" t="s">
        <v>935</v>
      </c>
      <c r="E659" s="280"/>
      <c r="F659" s="2" t="s">
        <v>329</v>
      </c>
      <c r="G659" s="37">
        <v>5</v>
      </c>
      <c r="H659" s="38">
        <v>0</v>
      </c>
    </row>
    <row r="660" spans="1:8" x14ac:dyDescent="0.25">
      <c r="A660" s="85"/>
      <c r="D660" s="96" t="s">
        <v>233</v>
      </c>
      <c r="E660" s="388" t="s">
        <v>1586</v>
      </c>
      <c r="F660" s="388"/>
      <c r="G660" s="97">
        <v>4</v>
      </c>
      <c r="H660" s="98"/>
    </row>
    <row r="661" spans="1:8" x14ac:dyDescent="0.25">
      <c r="A661" s="1" t="s">
        <v>4</v>
      </c>
      <c r="B661" s="2" t="s">
        <v>4</v>
      </c>
      <c r="C661" s="2" t="s">
        <v>4</v>
      </c>
      <c r="D661" s="96" t="s">
        <v>219</v>
      </c>
      <c r="E661" s="388" t="s">
        <v>1587</v>
      </c>
      <c r="F661" s="388"/>
      <c r="G661" s="97">
        <v>1</v>
      </c>
      <c r="H661" s="79" t="s">
        <v>4</v>
      </c>
    </row>
    <row r="662" spans="1:8" x14ac:dyDescent="0.25">
      <c r="A662" s="1" t="s">
        <v>936</v>
      </c>
      <c r="B662" s="2" t="s">
        <v>89</v>
      </c>
      <c r="C662" s="2" t="s">
        <v>937</v>
      </c>
      <c r="D662" s="280" t="s">
        <v>938</v>
      </c>
      <c r="E662" s="280"/>
      <c r="F662" s="2" t="s">
        <v>329</v>
      </c>
      <c r="G662" s="37">
        <v>2</v>
      </c>
      <c r="H662" s="38">
        <v>0</v>
      </c>
    </row>
    <row r="663" spans="1:8" x14ac:dyDescent="0.25">
      <c r="A663" s="85"/>
      <c r="D663" s="96" t="s">
        <v>219</v>
      </c>
      <c r="E663" s="388" t="s">
        <v>1583</v>
      </c>
      <c r="F663" s="388"/>
      <c r="G663" s="97">
        <v>1</v>
      </c>
      <c r="H663" s="98"/>
    </row>
    <row r="664" spans="1:8" x14ac:dyDescent="0.25">
      <c r="A664" s="1" t="s">
        <v>4</v>
      </c>
      <c r="B664" s="2" t="s">
        <v>4</v>
      </c>
      <c r="C664" s="2" t="s">
        <v>4</v>
      </c>
      <c r="D664" s="96" t="s">
        <v>219</v>
      </c>
      <c r="E664" s="388" t="s">
        <v>1584</v>
      </c>
      <c r="F664" s="388"/>
      <c r="G664" s="97">
        <v>1</v>
      </c>
      <c r="H664" s="79" t="s">
        <v>4</v>
      </c>
    </row>
    <row r="665" spans="1:8" x14ac:dyDescent="0.25">
      <c r="A665" s="1" t="s">
        <v>939</v>
      </c>
      <c r="B665" s="2" t="s">
        <v>89</v>
      </c>
      <c r="C665" s="2" t="s">
        <v>940</v>
      </c>
      <c r="D665" s="280" t="s">
        <v>941</v>
      </c>
      <c r="E665" s="280"/>
      <c r="F665" s="2" t="s">
        <v>329</v>
      </c>
      <c r="G665" s="37">
        <v>3</v>
      </c>
      <c r="H665" s="38">
        <v>0</v>
      </c>
    </row>
    <row r="666" spans="1:8" x14ac:dyDescent="0.25">
      <c r="A666" s="85"/>
      <c r="D666" s="96" t="s">
        <v>219</v>
      </c>
      <c r="E666" s="388" t="s">
        <v>1517</v>
      </c>
      <c r="F666" s="388"/>
      <c r="G666" s="97">
        <v>1</v>
      </c>
      <c r="H666" s="98"/>
    </row>
    <row r="667" spans="1:8" x14ac:dyDescent="0.25">
      <c r="A667" s="1" t="s">
        <v>4</v>
      </c>
      <c r="B667" s="2" t="s">
        <v>4</v>
      </c>
      <c r="C667" s="2" t="s">
        <v>4</v>
      </c>
      <c r="D667" s="96" t="s">
        <v>219</v>
      </c>
      <c r="E667" s="388" t="s">
        <v>1519</v>
      </c>
      <c r="F667" s="388"/>
      <c r="G667" s="97">
        <v>1</v>
      </c>
      <c r="H667" s="79" t="s">
        <v>4</v>
      </c>
    </row>
    <row r="668" spans="1:8" x14ac:dyDescent="0.25">
      <c r="A668" s="1" t="s">
        <v>4</v>
      </c>
      <c r="B668" s="2" t="s">
        <v>4</v>
      </c>
      <c r="C668" s="2" t="s">
        <v>4</v>
      </c>
      <c r="D668" s="96" t="s">
        <v>219</v>
      </c>
      <c r="E668" s="388" t="s">
        <v>1521</v>
      </c>
      <c r="F668" s="388"/>
      <c r="G668" s="97">
        <v>1</v>
      </c>
      <c r="H668" s="79" t="s">
        <v>4</v>
      </c>
    </row>
    <row r="669" spans="1:8" x14ac:dyDescent="0.25">
      <c r="A669" s="1" t="s">
        <v>942</v>
      </c>
      <c r="B669" s="2" t="s">
        <v>89</v>
      </c>
      <c r="C669" s="2" t="s">
        <v>943</v>
      </c>
      <c r="D669" s="280" t="s">
        <v>944</v>
      </c>
      <c r="E669" s="280"/>
      <c r="F669" s="2" t="s">
        <v>329</v>
      </c>
      <c r="G669" s="37">
        <v>1</v>
      </c>
      <c r="H669" s="38">
        <v>0</v>
      </c>
    </row>
    <row r="670" spans="1:8" x14ac:dyDescent="0.25">
      <c r="A670" s="85"/>
      <c r="D670" s="96" t="s">
        <v>219</v>
      </c>
      <c r="E670" s="388" t="s">
        <v>4</v>
      </c>
      <c r="F670" s="388"/>
      <c r="G670" s="97">
        <v>1</v>
      </c>
      <c r="H670" s="98"/>
    </row>
    <row r="671" spans="1:8" x14ac:dyDescent="0.25">
      <c r="A671" s="1" t="s">
        <v>945</v>
      </c>
      <c r="B671" s="2" t="s">
        <v>89</v>
      </c>
      <c r="C671" s="2" t="s">
        <v>946</v>
      </c>
      <c r="D671" s="280" t="s">
        <v>947</v>
      </c>
      <c r="E671" s="280"/>
      <c r="F671" s="2" t="s">
        <v>329</v>
      </c>
      <c r="G671" s="37">
        <v>1</v>
      </c>
      <c r="H671" s="38">
        <v>0</v>
      </c>
    </row>
    <row r="672" spans="1:8" x14ac:dyDescent="0.25">
      <c r="A672" s="85"/>
      <c r="D672" s="96" t="s">
        <v>219</v>
      </c>
      <c r="E672" s="388" t="s">
        <v>4</v>
      </c>
      <c r="F672" s="388"/>
      <c r="G672" s="97">
        <v>1</v>
      </c>
      <c r="H672" s="98"/>
    </row>
    <row r="673" spans="1:8" x14ac:dyDescent="0.25">
      <c r="A673" s="1" t="s">
        <v>948</v>
      </c>
      <c r="B673" s="2" t="s">
        <v>89</v>
      </c>
      <c r="C673" s="2" t="s">
        <v>949</v>
      </c>
      <c r="D673" s="280" t="s">
        <v>950</v>
      </c>
      <c r="E673" s="280"/>
      <c r="F673" s="2" t="s">
        <v>329</v>
      </c>
      <c r="G673" s="37">
        <v>1</v>
      </c>
      <c r="H673" s="38">
        <v>0</v>
      </c>
    </row>
    <row r="674" spans="1:8" x14ac:dyDescent="0.25">
      <c r="A674" s="85"/>
      <c r="D674" s="96" t="s">
        <v>219</v>
      </c>
      <c r="E674" s="388" t="s">
        <v>4</v>
      </c>
      <c r="F674" s="388"/>
      <c r="G674" s="97">
        <v>1</v>
      </c>
      <c r="H674" s="98"/>
    </row>
    <row r="675" spans="1:8" x14ac:dyDescent="0.25">
      <c r="A675" s="1" t="s">
        <v>951</v>
      </c>
      <c r="B675" s="2" t="s">
        <v>89</v>
      </c>
      <c r="C675" s="2" t="s">
        <v>952</v>
      </c>
      <c r="D675" s="280" t="s">
        <v>953</v>
      </c>
      <c r="E675" s="280"/>
      <c r="F675" s="2" t="s">
        <v>329</v>
      </c>
      <c r="G675" s="37">
        <v>3</v>
      </c>
      <c r="H675" s="38">
        <v>0</v>
      </c>
    </row>
    <row r="676" spans="1:8" x14ac:dyDescent="0.25">
      <c r="A676" s="85"/>
      <c r="D676" s="96" t="s">
        <v>219</v>
      </c>
      <c r="E676" s="388" t="s">
        <v>1516</v>
      </c>
      <c r="F676" s="388"/>
      <c r="G676" s="97">
        <v>1</v>
      </c>
      <c r="H676" s="98"/>
    </row>
    <row r="677" spans="1:8" x14ac:dyDescent="0.25">
      <c r="A677" s="1" t="s">
        <v>4</v>
      </c>
      <c r="B677" s="2" t="s">
        <v>4</v>
      </c>
      <c r="C677" s="2" t="s">
        <v>4</v>
      </c>
      <c r="D677" s="96" t="s">
        <v>219</v>
      </c>
      <c r="E677" s="388" t="s">
        <v>1527</v>
      </c>
      <c r="F677" s="388"/>
      <c r="G677" s="97">
        <v>1</v>
      </c>
      <c r="H677" s="79" t="s">
        <v>4</v>
      </c>
    </row>
    <row r="678" spans="1:8" x14ac:dyDescent="0.25">
      <c r="A678" s="1" t="s">
        <v>4</v>
      </c>
      <c r="B678" s="2" t="s">
        <v>4</v>
      </c>
      <c r="C678" s="2" t="s">
        <v>4</v>
      </c>
      <c r="D678" s="96" t="s">
        <v>219</v>
      </c>
      <c r="E678" s="388" t="s">
        <v>1529</v>
      </c>
      <c r="F678" s="388"/>
      <c r="G678" s="97">
        <v>1</v>
      </c>
      <c r="H678" s="79" t="s">
        <v>4</v>
      </c>
    </row>
    <row r="679" spans="1:8" x14ac:dyDescent="0.25">
      <c r="A679" s="1" t="s">
        <v>954</v>
      </c>
      <c r="B679" s="2" t="s">
        <v>89</v>
      </c>
      <c r="C679" s="2" t="s">
        <v>955</v>
      </c>
      <c r="D679" s="280" t="s">
        <v>956</v>
      </c>
      <c r="E679" s="280"/>
      <c r="F679" s="2" t="s">
        <v>329</v>
      </c>
      <c r="G679" s="37">
        <v>1</v>
      </c>
      <c r="H679" s="38">
        <v>0</v>
      </c>
    </row>
    <row r="680" spans="1:8" x14ac:dyDescent="0.25">
      <c r="A680" s="85"/>
      <c r="D680" s="96" t="s">
        <v>219</v>
      </c>
      <c r="E680" s="388" t="s">
        <v>4</v>
      </c>
      <c r="F680" s="388"/>
      <c r="G680" s="97">
        <v>1</v>
      </c>
      <c r="H680" s="98"/>
    </row>
    <row r="681" spans="1:8" x14ac:dyDescent="0.25">
      <c r="A681" s="1" t="s">
        <v>957</v>
      </c>
      <c r="B681" s="2" t="s">
        <v>89</v>
      </c>
      <c r="C681" s="2" t="s">
        <v>958</v>
      </c>
      <c r="D681" s="280" t="s">
        <v>959</v>
      </c>
      <c r="E681" s="280"/>
      <c r="F681" s="2" t="s">
        <v>329</v>
      </c>
      <c r="G681" s="37">
        <v>1</v>
      </c>
      <c r="H681" s="38">
        <v>0</v>
      </c>
    </row>
    <row r="682" spans="1:8" x14ac:dyDescent="0.25">
      <c r="A682" s="85"/>
      <c r="D682" s="96" t="s">
        <v>219</v>
      </c>
      <c r="E682" s="388" t="s">
        <v>4</v>
      </c>
      <c r="F682" s="388"/>
      <c r="G682" s="97">
        <v>1</v>
      </c>
      <c r="H682" s="98"/>
    </row>
    <row r="683" spans="1:8" x14ac:dyDescent="0.25">
      <c r="A683" s="1" t="s">
        <v>960</v>
      </c>
      <c r="B683" s="2" t="s">
        <v>89</v>
      </c>
      <c r="C683" s="2" t="s">
        <v>961</v>
      </c>
      <c r="D683" s="280" t="s">
        <v>962</v>
      </c>
      <c r="E683" s="280"/>
      <c r="F683" s="2" t="s">
        <v>329</v>
      </c>
      <c r="G683" s="37">
        <v>1</v>
      </c>
      <c r="H683" s="38">
        <v>0</v>
      </c>
    </row>
    <row r="684" spans="1:8" x14ac:dyDescent="0.25">
      <c r="A684" s="85"/>
      <c r="D684" s="96" t="s">
        <v>219</v>
      </c>
      <c r="E684" s="388" t="s">
        <v>4</v>
      </c>
      <c r="F684" s="388"/>
      <c r="G684" s="97">
        <v>1</v>
      </c>
      <c r="H684" s="98"/>
    </row>
    <row r="685" spans="1:8" x14ac:dyDescent="0.25">
      <c r="A685" s="1" t="s">
        <v>963</v>
      </c>
      <c r="B685" s="2" t="s">
        <v>89</v>
      </c>
      <c r="C685" s="2" t="s">
        <v>964</v>
      </c>
      <c r="D685" s="280" t="s">
        <v>965</v>
      </c>
      <c r="E685" s="280"/>
      <c r="F685" s="2" t="s">
        <v>329</v>
      </c>
      <c r="G685" s="37">
        <v>3</v>
      </c>
      <c r="H685" s="38">
        <v>0</v>
      </c>
    </row>
    <row r="686" spans="1:8" x14ac:dyDescent="0.25">
      <c r="A686" s="85"/>
      <c r="D686" s="96" t="s">
        <v>227</v>
      </c>
      <c r="E686" s="388" t="s">
        <v>1523</v>
      </c>
      <c r="F686" s="388"/>
      <c r="G686" s="97">
        <v>2</v>
      </c>
      <c r="H686" s="98"/>
    </row>
    <row r="687" spans="1:8" x14ac:dyDescent="0.25">
      <c r="A687" s="1" t="s">
        <v>4</v>
      </c>
      <c r="B687" s="2" t="s">
        <v>4</v>
      </c>
      <c r="C687" s="2" t="s">
        <v>4</v>
      </c>
      <c r="D687" s="96" t="s">
        <v>219</v>
      </c>
      <c r="E687" s="388" t="s">
        <v>1525</v>
      </c>
      <c r="F687" s="388"/>
      <c r="G687" s="97">
        <v>1</v>
      </c>
      <c r="H687" s="79" t="s">
        <v>4</v>
      </c>
    </row>
    <row r="688" spans="1:8" x14ac:dyDescent="0.25">
      <c r="A688" s="1" t="s">
        <v>966</v>
      </c>
      <c r="B688" s="2" t="s">
        <v>89</v>
      </c>
      <c r="C688" s="2" t="s">
        <v>967</v>
      </c>
      <c r="D688" s="280" t="s">
        <v>968</v>
      </c>
      <c r="E688" s="280"/>
      <c r="F688" s="2" t="s">
        <v>329</v>
      </c>
      <c r="G688" s="37">
        <v>2</v>
      </c>
      <c r="H688" s="38">
        <v>0</v>
      </c>
    </row>
    <row r="689" spans="1:8" x14ac:dyDescent="0.25">
      <c r="A689" s="85"/>
      <c r="D689" s="96" t="s">
        <v>227</v>
      </c>
      <c r="E689" s="388" t="s">
        <v>4</v>
      </c>
      <c r="F689" s="388"/>
      <c r="G689" s="97">
        <v>2</v>
      </c>
      <c r="H689" s="98"/>
    </row>
    <row r="690" spans="1:8" x14ac:dyDescent="0.25">
      <c r="A690" s="1" t="s">
        <v>969</v>
      </c>
      <c r="B690" s="2" t="s">
        <v>89</v>
      </c>
      <c r="C690" s="2" t="s">
        <v>970</v>
      </c>
      <c r="D690" s="280" t="s">
        <v>971</v>
      </c>
      <c r="E690" s="280"/>
      <c r="F690" s="2" t="s">
        <v>329</v>
      </c>
      <c r="G690" s="37">
        <v>1</v>
      </c>
      <c r="H690" s="38">
        <v>0</v>
      </c>
    </row>
    <row r="691" spans="1:8" x14ac:dyDescent="0.25">
      <c r="A691" s="85"/>
      <c r="D691" s="96" t="s">
        <v>219</v>
      </c>
      <c r="E691" s="388" t="s">
        <v>4</v>
      </c>
      <c r="F691" s="388"/>
      <c r="G691" s="97">
        <v>1</v>
      </c>
      <c r="H691" s="98"/>
    </row>
    <row r="692" spans="1:8" x14ac:dyDescent="0.25">
      <c r="A692" s="1" t="s">
        <v>972</v>
      </c>
      <c r="B692" s="2" t="s">
        <v>89</v>
      </c>
      <c r="C692" s="2" t="s">
        <v>973</v>
      </c>
      <c r="D692" s="280" t="s">
        <v>974</v>
      </c>
      <c r="E692" s="280"/>
      <c r="F692" s="2" t="s">
        <v>329</v>
      </c>
      <c r="G692" s="37">
        <v>2</v>
      </c>
      <c r="H692" s="38">
        <v>0</v>
      </c>
    </row>
    <row r="693" spans="1:8" x14ac:dyDescent="0.25">
      <c r="A693" s="85"/>
      <c r="D693" s="96" t="s">
        <v>219</v>
      </c>
      <c r="E693" s="388" t="s">
        <v>1585</v>
      </c>
      <c r="F693" s="388"/>
      <c r="G693" s="97">
        <v>1</v>
      </c>
      <c r="H693" s="98"/>
    </row>
    <row r="694" spans="1:8" x14ac:dyDescent="0.25">
      <c r="A694" s="1" t="s">
        <v>4</v>
      </c>
      <c r="B694" s="2" t="s">
        <v>4</v>
      </c>
      <c r="C694" s="2" t="s">
        <v>4</v>
      </c>
      <c r="D694" s="96" t="s">
        <v>219</v>
      </c>
      <c r="E694" s="388" t="s">
        <v>1588</v>
      </c>
      <c r="F694" s="388"/>
      <c r="G694" s="97">
        <v>1</v>
      </c>
      <c r="H694" s="79" t="s">
        <v>4</v>
      </c>
    </row>
    <row r="695" spans="1:8" x14ac:dyDescent="0.25">
      <c r="A695" s="1" t="s">
        <v>975</v>
      </c>
      <c r="B695" s="2" t="s">
        <v>89</v>
      </c>
      <c r="C695" s="2" t="s">
        <v>976</v>
      </c>
      <c r="D695" s="280" t="s">
        <v>977</v>
      </c>
      <c r="E695" s="280"/>
      <c r="F695" s="2" t="s">
        <v>329</v>
      </c>
      <c r="G695" s="37">
        <v>1</v>
      </c>
      <c r="H695" s="38">
        <v>0</v>
      </c>
    </row>
    <row r="696" spans="1:8" x14ac:dyDescent="0.25">
      <c r="A696" s="85"/>
      <c r="D696" s="96" t="s">
        <v>219</v>
      </c>
      <c r="E696" s="388" t="s">
        <v>4</v>
      </c>
      <c r="F696" s="388"/>
      <c r="G696" s="97">
        <v>1</v>
      </c>
      <c r="H696" s="98"/>
    </row>
    <row r="697" spans="1:8" x14ac:dyDescent="0.25">
      <c r="A697" s="1" t="s">
        <v>978</v>
      </c>
      <c r="B697" s="2" t="s">
        <v>89</v>
      </c>
      <c r="C697" s="2" t="s">
        <v>979</v>
      </c>
      <c r="D697" s="280" t="s">
        <v>980</v>
      </c>
      <c r="E697" s="280"/>
      <c r="F697" s="2" t="s">
        <v>329</v>
      </c>
      <c r="G697" s="37">
        <v>1</v>
      </c>
      <c r="H697" s="38">
        <v>0</v>
      </c>
    </row>
    <row r="698" spans="1:8" x14ac:dyDescent="0.25">
      <c r="A698" s="85"/>
      <c r="D698" s="96" t="s">
        <v>219</v>
      </c>
      <c r="E698" s="388" t="s">
        <v>4</v>
      </c>
      <c r="F698" s="388"/>
      <c r="G698" s="97">
        <v>1</v>
      </c>
      <c r="H698" s="98"/>
    </row>
    <row r="699" spans="1:8" x14ac:dyDescent="0.25">
      <c r="A699" s="1" t="s">
        <v>981</v>
      </c>
      <c r="B699" s="2" t="s">
        <v>89</v>
      </c>
      <c r="C699" s="2" t="s">
        <v>982</v>
      </c>
      <c r="D699" s="280" t="s">
        <v>983</v>
      </c>
      <c r="E699" s="280"/>
      <c r="F699" s="2" t="s">
        <v>329</v>
      </c>
      <c r="G699" s="37">
        <v>1</v>
      </c>
      <c r="H699" s="38">
        <v>0</v>
      </c>
    </row>
    <row r="700" spans="1:8" x14ac:dyDescent="0.25">
      <c r="A700" s="85"/>
      <c r="D700" s="96" t="s">
        <v>219</v>
      </c>
      <c r="E700" s="388" t="s">
        <v>1524</v>
      </c>
      <c r="F700" s="388"/>
      <c r="G700" s="97">
        <v>1</v>
      </c>
      <c r="H700" s="98"/>
    </row>
    <row r="701" spans="1:8" x14ac:dyDescent="0.25">
      <c r="A701" s="1" t="s">
        <v>984</v>
      </c>
      <c r="B701" s="2" t="s">
        <v>89</v>
      </c>
      <c r="C701" s="2" t="s">
        <v>985</v>
      </c>
      <c r="D701" s="280" t="s">
        <v>986</v>
      </c>
      <c r="E701" s="280"/>
      <c r="F701" s="2" t="s">
        <v>329</v>
      </c>
      <c r="G701" s="37">
        <v>1</v>
      </c>
      <c r="H701" s="38">
        <v>0</v>
      </c>
    </row>
    <row r="702" spans="1:8" x14ac:dyDescent="0.25">
      <c r="A702" s="85"/>
      <c r="D702" s="96" t="s">
        <v>219</v>
      </c>
      <c r="E702" s="388" t="s">
        <v>4</v>
      </c>
      <c r="F702" s="388"/>
      <c r="G702" s="97">
        <v>1</v>
      </c>
      <c r="H702" s="98"/>
    </row>
    <row r="703" spans="1:8" x14ac:dyDescent="0.25">
      <c r="A703" s="1" t="s">
        <v>987</v>
      </c>
      <c r="B703" s="2" t="s">
        <v>89</v>
      </c>
      <c r="C703" s="2" t="s">
        <v>988</v>
      </c>
      <c r="D703" s="280" t="s">
        <v>989</v>
      </c>
      <c r="E703" s="280"/>
      <c r="F703" s="2" t="s">
        <v>333</v>
      </c>
      <c r="G703" s="37">
        <v>68.87</v>
      </c>
      <c r="H703" s="38">
        <v>0</v>
      </c>
    </row>
    <row r="704" spans="1:8" x14ac:dyDescent="0.25">
      <c r="A704" s="85"/>
      <c r="D704" s="96" t="s">
        <v>1501</v>
      </c>
      <c r="E704" s="388" t="s">
        <v>4</v>
      </c>
      <c r="F704" s="388"/>
      <c r="G704" s="97">
        <v>68.87</v>
      </c>
      <c r="H704" s="98"/>
    </row>
    <row r="705" spans="1:8" x14ac:dyDescent="0.25">
      <c r="A705" s="1" t="s">
        <v>990</v>
      </c>
      <c r="B705" s="2" t="s">
        <v>89</v>
      </c>
      <c r="C705" s="2" t="s">
        <v>991</v>
      </c>
      <c r="D705" s="280" t="s">
        <v>992</v>
      </c>
      <c r="E705" s="280"/>
      <c r="F705" s="2" t="s">
        <v>63</v>
      </c>
      <c r="G705" s="37">
        <v>4517.6908000000003</v>
      </c>
      <c r="H705" s="38">
        <v>0</v>
      </c>
    </row>
    <row r="706" spans="1:8" x14ac:dyDescent="0.25">
      <c r="A706" s="85"/>
      <c r="D706" s="96" t="s">
        <v>1589</v>
      </c>
      <c r="E706" s="388" t="s">
        <v>4</v>
      </c>
      <c r="F706" s="388"/>
      <c r="G706" s="97">
        <v>4517.6908000000003</v>
      </c>
      <c r="H706" s="98"/>
    </row>
    <row r="707" spans="1:8" x14ac:dyDescent="0.25">
      <c r="A707" s="1" t="s">
        <v>993</v>
      </c>
      <c r="B707" s="2" t="s">
        <v>89</v>
      </c>
      <c r="C707" s="2" t="s">
        <v>994</v>
      </c>
      <c r="D707" s="280" t="s">
        <v>995</v>
      </c>
      <c r="E707" s="280"/>
      <c r="F707" s="2" t="s">
        <v>333</v>
      </c>
      <c r="G707" s="37">
        <v>13.65</v>
      </c>
      <c r="H707" s="38">
        <v>0</v>
      </c>
    </row>
    <row r="708" spans="1:8" x14ac:dyDescent="0.25">
      <c r="A708" s="85"/>
      <c r="D708" s="96" t="s">
        <v>1590</v>
      </c>
      <c r="E708" s="388" t="s">
        <v>4</v>
      </c>
      <c r="F708" s="388"/>
      <c r="G708" s="97">
        <v>13.65</v>
      </c>
      <c r="H708" s="98"/>
    </row>
    <row r="709" spans="1:8" x14ac:dyDescent="0.25">
      <c r="A709" s="1" t="s">
        <v>997</v>
      </c>
      <c r="B709" s="2" t="s">
        <v>89</v>
      </c>
      <c r="C709" s="2" t="s">
        <v>998</v>
      </c>
      <c r="D709" s="280" t="s">
        <v>999</v>
      </c>
      <c r="E709" s="280"/>
      <c r="F709" s="2" t="s">
        <v>333</v>
      </c>
      <c r="G709" s="37">
        <v>6.8</v>
      </c>
      <c r="H709" s="38">
        <v>0</v>
      </c>
    </row>
    <row r="710" spans="1:8" x14ac:dyDescent="0.25">
      <c r="A710" s="85"/>
      <c r="D710" s="96" t="s">
        <v>1591</v>
      </c>
      <c r="E710" s="388" t="s">
        <v>4</v>
      </c>
      <c r="F710" s="388"/>
      <c r="G710" s="97">
        <v>6.8</v>
      </c>
      <c r="H710" s="98"/>
    </row>
    <row r="711" spans="1:8" x14ac:dyDescent="0.25">
      <c r="A711" s="1" t="s">
        <v>1000</v>
      </c>
      <c r="B711" s="2" t="s">
        <v>89</v>
      </c>
      <c r="C711" s="2" t="s">
        <v>1001</v>
      </c>
      <c r="D711" s="280" t="s">
        <v>1002</v>
      </c>
      <c r="E711" s="280"/>
      <c r="F711" s="2" t="s">
        <v>333</v>
      </c>
      <c r="G711" s="37">
        <v>6.6</v>
      </c>
      <c r="H711" s="38">
        <v>0</v>
      </c>
    </row>
    <row r="712" spans="1:8" x14ac:dyDescent="0.25">
      <c r="A712" s="85"/>
      <c r="D712" s="96" t="s">
        <v>1592</v>
      </c>
      <c r="E712" s="388" t="s">
        <v>4</v>
      </c>
      <c r="F712" s="388"/>
      <c r="G712" s="97">
        <v>6.6</v>
      </c>
      <c r="H712" s="98"/>
    </row>
    <row r="713" spans="1:8" x14ac:dyDescent="0.25">
      <c r="A713" s="1" t="s">
        <v>1003</v>
      </c>
      <c r="B713" s="2" t="s">
        <v>89</v>
      </c>
      <c r="C713" s="2" t="s">
        <v>1004</v>
      </c>
      <c r="D713" s="280" t="s">
        <v>1005</v>
      </c>
      <c r="E713" s="280"/>
      <c r="F713" s="2" t="s">
        <v>333</v>
      </c>
      <c r="G713" s="37">
        <v>1.2</v>
      </c>
      <c r="H713" s="38">
        <v>0</v>
      </c>
    </row>
    <row r="714" spans="1:8" x14ac:dyDescent="0.25">
      <c r="A714" s="85"/>
      <c r="D714" s="96" t="s">
        <v>1537</v>
      </c>
      <c r="E714" s="388" t="s">
        <v>4</v>
      </c>
      <c r="F714" s="388"/>
      <c r="G714" s="97">
        <v>1.2</v>
      </c>
      <c r="H714" s="98"/>
    </row>
    <row r="715" spans="1:8" x14ac:dyDescent="0.25">
      <c r="A715" s="1" t="s">
        <v>1006</v>
      </c>
      <c r="B715" s="2" t="s">
        <v>89</v>
      </c>
      <c r="C715" s="2" t="s">
        <v>1007</v>
      </c>
      <c r="D715" s="280" t="s">
        <v>1008</v>
      </c>
      <c r="E715" s="280"/>
      <c r="F715" s="2" t="s">
        <v>333</v>
      </c>
      <c r="G715" s="37">
        <v>3.65</v>
      </c>
      <c r="H715" s="38">
        <v>0</v>
      </c>
    </row>
    <row r="716" spans="1:8" x14ac:dyDescent="0.25">
      <c r="A716" s="85"/>
      <c r="D716" s="96" t="s">
        <v>1593</v>
      </c>
      <c r="E716" s="388" t="s">
        <v>4</v>
      </c>
      <c r="F716" s="388"/>
      <c r="G716" s="97">
        <v>3.65</v>
      </c>
      <c r="H716" s="98"/>
    </row>
    <row r="717" spans="1:8" x14ac:dyDescent="0.25">
      <c r="A717" s="1" t="s">
        <v>1009</v>
      </c>
      <c r="B717" s="2" t="s">
        <v>89</v>
      </c>
      <c r="C717" s="2" t="s">
        <v>1010</v>
      </c>
      <c r="D717" s="280" t="s">
        <v>1011</v>
      </c>
      <c r="E717" s="280"/>
      <c r="F717" s="2" t="s">
        <v>63</v>
      </c>
      <c r="G717" s="37">
        <v>1540.8358000000001</v>
      </c>
      <c r="H717" s="38">
        <v>0</v>
      </c>
    </row>
    <row r="718" spans="1:8" x14ac:dyDescent="0.25">
      <c r="A718" s="85"/>
      <c r="D718" s="96" t="s">
        <v>1594</v>
      </c>
      <c r="E718" s="388" t="s">
        <v>4</v>
      </c>
      <c r="F718" s="388"/>
      <c r="G718" s="97">
        <v>1540.8358000000001</v>
      </c>
      <c r="H718" s="98"/>
    </row>
    <row r="719" spans="1:8" x14ac:dyDescent="0.25">
      <c r="A719" s="1" t="s">
        <v>1012</v>
      </c>
      <c r="B719" s="2" t="s">
        <v>89</v>
      </c>
      <c r="C719" s="2" t="s">
        <v>1013</v>
      </c>
      <c r="D719" s="280" t="s">
        <v>1014</v>
      </c>
      <c r="E719" s="280"/>
      <c r="F719" s="2" t="s">
        <v>249</v>
      </c>
      <c r="G719" s="37">
        <v>21.77148</v>
      </c>
      <c r="H719" s="38">
        <v>0</v>
      </c>
    </row>
    <row r="720" spans="1:8" x14ac:dyDescent="0.25">
      <c r="A720" s="85"/>
      <c r="D720" s="96" t="s">
        <v>1530</v>
      </c>
      <c r="E720" s="388" t="s">
        <v>4</v>
      </c>
      <c r="F720" s="388"/>
      <c r="G720" s="97">
        <v>3.04</v>
      </c>
      <c r="H720" s="98"/>
    </row>
    <row r="721" spans="1:8" x14ac:dyDescent="0.25">
      <c r="A721" s="1" t="s">
        <v>4</v>
      </c>
      <c r="B721" s="2" t="s">
        <v>4</v>
      </c>
      <c r="C721" s="2" t="s">
        <v>4</v>
      </c>
      <c r="D721" s="96" t="s">
        <v>1531</v>
      </c>
      <c r="E721" s="388" t="s">
        <v>4</v>
      </c>
      <c r="F721" s="388"/>
      <c r="G721" s="97">
        <v>16.25</v>
      </c>
      <c r="H721" s="79" t="s">
        <v>4</v>
      </c>
    </row>
    <row r="722" spans="1:8" x14ac:dyDescent="0.25">
      <c r="A722" s="1" t="s">
        <v>4</v>
      </c>
      <c r="B722" s="2" t="s">
        <v>4</v>
      </c>
      <c r="C722" s="2" t="s">
        <v>4</v>
      </c>
      <c r="D722" s="96" t="s">
        <v>1595</v>
      </c>
      <c r="E722" s="388" t="s">
        <v>4</v>
      </c>
      <c r="F722" s="388"/>
      <c r="G722" s="97">
        <v>2.4814799999999999</v>
      </c>
      <c r="H722" s="79" t="s">
        <v>4</v>
      </c>
    </row>
    <row r="723" spans="1:8" x14ac:dyDescent="0.25">
      <c r="A723" s="1" t="s">
        <v>1017</v>
      </c>
      <c r="B723" s="2" t="s">
        <v>89</v>
      </c>
      <c r="C723" s="2" t="s">
        <v>1018</v>
      </c>
      <c r="D723" s="280" t="s">
        <v>1019</v>
      </c>
      <c r="E723" s="280"/>
      <c r="F723" s="2" t="s">
        <v>249</v>
      </c>
      <c r="G723" s="37">
        <v>21.77148</v>
      </c>
      <c r="H723" s="38">
        <v>0</v>
      </c>
    </row>
    <row r="724" spans="1:8" x14ac:dyDescent="0.25">
      <c r="A724" s="85"/>
      <c r="D724" s="96" t="s">
        <v>1530</v>
      </c>
      <c r="E724" s="388" t="s">
        <v>4</v>
      </c>
      <c r="F724" s="388"/>
      <c r="G724" s="97">
        <v>3.04</v>
      </c>
      <c r="H724" s="98"/>
    </row>
    <row r="725" spans="1:8" x14ac:dyDescent="0.25">
      <c r="A725" s="1" t="s">
        <v>4</v>
      </c>
      <c r="B725" s="2" t="s">
        <v>4</v>
      </c>
      <c r="C725" s="2" t="s">
        <v>4</v>
      </c>
      <c r="D725" s="96" t="s">
        <v>1531</v>
      </c>
      <c r="E725" s="388" t="s">
        <v>4</v>
      </c>
      <c r="F725" s="388"/>
      <c r="G725" s="97">
        <v>16.25</v>
      </c>
      <c r="H725" s="79" t="s">
        <v>4</v>
      </c>
    </row>
    <row r="726" spans="1:8" x14ac:dyDescent="0.25">
      <c r="A726" s="1" t="s">
        <v>4</v>
      </c>
      <c r="B726" s="2" t="s">
        <v>4</v>
      </c>
      <c r="C726" s="2" t="s">
        <v>4</v>
      </c>
      <c r="D726" s="96" t="s">
        <v>1595</v>
      </c>
      <c r="E726" s="388" t="s">
        <v>4</v>
      </c>
      <c r="F726" s="388"/>
      <c r="G726" s="97">
        <v>2.4814799999999999</v>
      </c>
      <c r="H726" s="79" t="s">
        <v>4</v>
      </c>
    </row>
    <row r="727" spans="1:8" x14ac:dyDescent="0.25">
      <c r="A727" s="1" t="s">
        <v>1020</v>
      </c>
      <c r="B727" s="2" t="s">
        <v>89</v>
      </c>
      <c r="C727" s="2" t="s">
        <v>1021</v>
      </c>
      <c r="D727" s="280" t="s">
        <v>1022</v>
      </c>
      <c r="E727" s="280"/>
      <c r="F727" s="2" t="s">
        <v>249</v>
      </c>
      <c r="G727" s="37">
        <v>22.183499999999999</v>
      </c>
      <c r="H727" s="38">
        <v>0</v>
      </c>
    </row>
    <row r="728" spans="1:8" x14ac:dyDescent="0.25">
      <c r="A728" s="85"/>
      <c r="D728" s="96" t="s">
        <v>1530</v>
      </c>
      <c r="E728" s="388" t="s">
        <v>4</v>
      </c>
      <c r="F728" s="388"/>
      <c r="G728" s="97">
        <v>3.04</v>
      </c>
      <c r="H728" s="98"/>
    </row>
    <row r="729" spans="1:8" x14ac:dyDescent="0.25">
      <c r="A729" s="1" t="s">
        <v>4</v>
      </c>
      <c r="B729" s="2" t="s">
        <v>4</v>
      </c>
      <c r="C729" s="2" t="s">
        <v>4</v>
      </c>
      <c r="D729" s="96" t="s">
        <v>1531</v>
      </c>
      <c r="E729" s="388" t="s">
        <v>4</v>
      </c>
      <c r="F729" s="388"/>
      <c r="G729" s="97">
        <v>16.25</v>
      </c>
      <c r="H729" s="79" t="s">
        <v>4</v>
      </c>
    </row>
    <row r="730" spans="1:8" x14ac:dyDescent="0.25">
      <c r="A730" s="1" t="s">
        <v>4</v>
      </c>
      <c r="B730" s="2" t="s">
        <v>4</v>
      </c>
      <c r="C730" s="2" t="s">
        <v>4</v>
      </c>
      <c r="D730" s="96" t="s">
        <v>1596</v>
      </c>
      <c r="E730" s="388" t="s">
        <v>4</v>
      </c>
      <c r="F730" s="388"/>
      <c r="G730" s="97">
        <v>2.8935</v>
      </c>
      <c r="H730" s="79" t="s">
        <v>4</v>
      </c>
    </row>
    <row r="731" spans="1:8" x14ac:dyDescent="0.25">
      <c r="A731" s="1" t="s">
        <v>1023</v>
      </c>
      <c r="B731" s="2" t="s">
        <v>89</v>
      </c>
      <c r="C731" s="2" t="s">
        <v>1024</v>
      </c>
      <c r="D731" s="280" t="s">
        <v>1025</v>
      </c>
      <c r="E731" s="280"/>
      <c r="F731" s="2" t="s">
        <v>249</v>
      </c>
      <c r="G731" s="37">
        <v>2.8536999999999999</v>
      </c>
      <c r="H731" s="38">
        <v>0</v>
      </c>
    </row>
    <row r="732" spans="1:8" x14ac:dyDescent="0.25">
      <c r="A732" s="85"/>
      <c r="D732" s="96" t="s">
        <v>1595</v>
      </c>
      <c r="E732" s="388" t="s">
        <v>4</v>
      </c>
      <c r="F732" s="388"/>
      <c r="G732" s="97">
        <v>2.4814799999999999</v>
      </c>
      <c r="H732" s="98"/>
    </row>
    <row r="733" spans="1:8" x14ac:dyDescent="0.25">
      <c r="A733" s="1" t="s">
        <v>4</v>
      </c>
      <c r="B733" s="2" t="s">
        <v>4</v>
      </c>
      <c r="C733" s="2" t="s">
        <v>4</v>
      </c>
      <c r="D733" s="96" t="s">
        <v>1597</v>
      </c>
      <c r="E733" s="388" t="s">
        <v>4</v>
      </c>
      <c r="F733" s="388"/>
      <c r="G733" s="97">
        <v>0.37222</v>
      </c>
      <c r="H733" s="79" t="s">
        <v>4</v>
      </c>
    </row>
    <row r="734" spans="1:8" x14ac:dyDescent="0.25">
      <c r="A734" s="1" t="s">
        <v>1026</v>
      </c>
      <c r="B734" s="2" t="s">
        <v>89</v>
      </c>
      <c r="C734" s="2" t="s">
        <v>1027</v>
      </c>
      <c r="D734" s="280" t="s">
        <v>1028</v>
      </c>
      <c r="E734" s="280"/>
      <c r="F734" s="2" t="s">
        <v>63</v>
      </c>
      <c r="G734" s="37">
        <v>368.96940000000001</v>
      </c>
      <c r="H734" s="38">
        <v>0</v>
      </c>
    </row>
    <row r="735" spans="1:8" x14ac:dyDescent="0.25">
      <c r="A735" s="85"/>
      <c r="D735" s="96" t="s">
        <v>1598</v>
      </c>
      <c r="E735" s="388" t="s">
        <v>4</v>
      </c>
      <c r="F735" s="388"/>
      <c r="G735" s="97">
        <v>368.96940000000001</v>
      </c>
      <c r="H735" s="98"/>
    </row>
    <row r="736" spans="1:8" x14ac:dyDescent="0.25">
      <c r="A736" s="1" t="s">
        <v>1029</v>
      </c>
      <c r="B736" s="2" t="s">
        <v>89</v>
      </c>
      <c r="C736" s="2" t="s">
        <v>1030</v>
      </c>
      <c r="D736" s="280" t="s">
        <v>1031</v>
      </c>
      <c r="E736" s="280"/>
      <c r="F736" s="2" t="s">
        <v>249</v>
      </c>
      <c r="G736" s="37">
        <v>158.09</v>
      </c>
      <c r="H736" s="38">
        <v>0</v>
      </c>
    </row>
    <row r="737" spans="1:8" x14ac:dyDescent="0.25">
      <c r="A737" s="85"/>
      <c r="D737" s="96" t="s">
        <v>1503</v>
      </c>
      <c r="E737" s="388" t="s">
        <v>4</v>
      </c>
      <c r="F737" s="388"/>
      <c r="G737" s="97">
        <v>22.44</v>
      </c>
      <c r="H737" s="98"/>
    </row>
    <row r="738" spans="1:8" x14ac:dyDescent="0.25">
      <c r="A738" s="1" t="s">
        <v>4</v>
      </c>
      <c r="B738" s="2" t="s">
        <v>4</v>
      </c>
      <c r="C738" s="2" t="s">
        <v>4</v>
      </c>
      <c r="D738" s="96" t="s">
        <v>1504</v>
      </c>
      <c r="E738" s="388" t="s">
        <v>4</v>
      </c>
      <c r="F738" s="388"/>
      <c r="G738" s="97">
        <v>38.75</v>
      </c>
      <c r="H738" s="79" t="s">
        <v>4</v>
      </c>
    </row>
    <row r="739" spans="1:8" x14ac:dyDescent="0.25">
      <c r="A739" s="1" t="s">
        <v>4</v>
      </c>
      <c r="B739" s="2" t="s">
        <v>4</v>
      </c>
      <c r="C739" s="2" t="s">
        <v>4</v>
      </c>
      <c r="D739" s="96" t="s">
        <v>125</v>
      </c>
      <c r="E739" s="388" t="s">
        <v>4</v>
      </c>
      <c r="F739" s="388"/>
      <c r="G739" s="97">
        <v>63</v>
      </c>
      <c r="H739" s="79" t="s">
        <v>4</v>
      </c>
    </row>
    <row r="740" spans="1:8" x14ac:dyDescent="0.25">
      <c r="A740" s="1" t="s">
        <v>4</v>
      </c>
      <c r="B740" s="2" t="s">
        <v>4</v>
      </c>
      <c r="C740" s="2" t="s">
        <v>4</v>
      </c>
      <c r="D740" s="96" t="s">
        <v>1506</v>
      </c>
      <c r="E740" s="388" t="s">
        <v>4</v>
      </c>
      <c r="F740" s="388"/>
      <c r="G740" s="97">
        <v>33.9</v>
      </c>
      <c r="H740" s="79" t="s">
        <v>4</v>
      </c>
    </row>
    <row r="741" spans="1:8" x14ac:dyDescent="0.25">
      <c r="A741" s="1" t="s">
        <v>1033</v>
      </c>
      <c r="B741" s="2" t="s">
        <v>89</v>
      </c>
      <c r="C741" s="2" t="s">
        <v>1034</v>
      </c>
      <c r="D741" s="280" t="s">
        <v>1035</v>
      </c>
      <c r="E741" s="280"/>
      <c r="F741" s="2" t="s">
        <v>249</v>
      </c>
      <c r="G741" s="37">
        <v>158.09</v>
      </c>
      <c r="H741" s="38">
        <v>0</v>
      </c>
    </row>
    <row r="742" spans="1:8" x14ac:dyDescent="0.25">
      <c r="A742" s="85"/>
      <c r="D742" s="96" t="s">
        <v>1503</v>
      </c>
      <c r="E742" s="388" t="s">
        <v>4</v>
      </c>
      <c r="F742" s="388"/>
      <c r="G742" s="97">
        <v>22.44</v>
      </c>
      <c r="H742" s="98"/>
    </row>
    <row r="743" spans="1:8" x14ac:dyDescent="0.25">
      <c r="A743" s="1" t="s">
        <v>4</v>
      </c>
      <c r="B743" s="2" t="s">
        <v>4</v>
      </c>
      <c r="C743" s="2" t="s">
        <v>4</v>
      </c>
      <c r="D743" s="96" t="s">
        <v>1504</v>
      </c>
      <c r="E743" s="388" t="s">
        <v>4</v>
      </c>
      <c r="F743" s="388"/>
      <c r="G743" s="97">
        <v>38.75</v>
      </c>
      <c r="H743" s="79" t="s">
        <v>4</v>
      </c>
    </row>
    <row r="744" spans="1:8" x14ac:dyDescent="0.25">
      <c r="A744" s="1" t="s">
        <v>4</v>
      </c>
      <c r="B744" s="2" t="s">
        <v>4</v>
      </c>
      <c r="C744" s="2" t="s">
        <v>4</v>
      </c>
      <c r="D744" s="96" t="s">
        <v>125</v>
      </c>
      <c r="E744" s="388" t="s">
        <v>4</v>
      </c>
      <c r="F744" s="388"/>
      <c r="G744" s="97">
        <v>63</v>
      </c>
      <c r="H744" s="79" t="s">
        <v>4</v>
      </c>
    </row>
    <row r="745" spans="1:8" x14ac:dyDescent="0.25">
      <c r="A745" s="1" t="s">
        <v>4</v>
      </c>
      <c r="B745" s="2" t="s">
        <v>4</v>
      </c>
      <c r="C745" s="2" t="s">
        <v>4</v>
      </c>
      <c r="D745" s="96" t="s">
        <v>1506</v>
      </c>
      <c r="E745" s="388" t="s">
        <v>4</v>
      </c>
      <c r="F745" s="388"/>
      <c r="G745" s="97">
        <v>33.9</v>
      </c>
      <c r="H745" s="79" t="s">
        <v>4</v>
      </c>
    </row>
    <row r="746" spans="1:8" x14ac:dyDescent="0.25">
      <c r="A746" s="1" t="s">
        <v>1036</v>
      </c>
      <c r="B746" s="2" t="s">
        <v>89</v>
      </c>
      <c r="C746" s="2" t="s">
        <v>1037</v>
      </c>
      <c r="D746" s="280" t="s">
        <v>1038</v>
      </c>
      <c r="E746" s="280"/>
      <c r="F746" s="2" t="s">
        <v>63</v>
      </c>
      <c r="G746" s="37">
        <v>1573.1536000000001</v>
      </c>
      <c r="H746" s="38">
        <v>0</v>
      </c>
    </row>
    <row r="747" spans="1:8" x14ac:dyDescent="0.25">
      <c r="A747" s="85"/>
      <c r="D747" s="96" t="s">
        <v>1599</v>
      </c>
      <c r="E747" s="388" t="s">
        <v>4</v>
      </c>
      <c r="F747" s="388"/>
      <c r="G747" s="97">
        <v>1573.1536000000001</v>
      </c>
      <c r="H747" s="98"/>
    </row>
    <row r="748" spans="1:8" x14ac:dyDescent="0.25">
      <c r="A748" s="1" t="s">
        <v>1039</v>
      </c>
      <c r="B748" s="2" t="s">
        <v>89</v>
      </c>
      <c r="C748" s="2" t="s">
        <v>1040</v>
      </c>
      <c r="D748" s="280" t="s">
        <v>1041</v>
      </c>
      <c r="E748" s="280"/>
      <c r="F748" s="2" t="s">
        <v>249</v>
      </c>
      <c r="G748" s="37">
        <v>41.204999999999998</v>
      </c>
      <c r="H748" s="38">
        <v>0</v>
      </c>
    </row>
    <row r="749" spans="1:8" x14ac:dyDescent="0.25">
      <c r="A749" s="85"/>
      <c r="D749" s="96" t="s">
        <v>1600</v>
      </c>
      <c r="E749" s="388" t="s">
        <v>1601</v>
      </c>
      <c r="F749" s="388"/>
      <c r="G749" s="97">
        <v>9.7680000000000007</v>
      </c>
      <c r="H749" s="98"/>
    </row>
    <row r="750" spans="1:8" x14ac:dyDescent="0.25">
      <c r="A750" s="1" t="s">
        <v>4</v>
      </c>
      <c r="B750" s="2" t="s">
        <v>4</v>
      </c>
      <c r="C750" s="2" t="s">
        <v>4</v>
      </c>
      <c r="D750" s="96" t="s">
        <v>1602</v>
      </c>
      <c r="E750" s="388" t="s">
        <v>1603</v>
      </c>
      <c r="F750" s="388"/>
      <c r="G750" s="97">
        <v>1.4</v>
      </c>
      <c r="H750" s="79" t="s">
        <v>4</v>
      </c>
    </row>
    <row r="751" spans="1:8" x14ac:dyDescent="0.25">
      <c r="A751" s="1" t="s">
        <v>4</v>
      </c>
      <c r="B751" s="2" t="s">
        <v>4</v>
      </c>
      <c r="C751" s="2" t="s">
        <v>4</v>
      </c>
      <c r="D751" s="96" t="s">
        <v>1604</v>
      </c>
      <c r="E751" s="388" t="s">
        <v>1605</v>
      </c>
      <c r="F751" s="388"/>
      <c r="G751" s="97">
        <v>12.621</v>
      </c>
      <c r="H751" s="79" t="s">
        <v>4</v>
      </c>
    </row>
    <row r="752" spans="1:8" x14ac:dyDescent="0.25">
      <c r="A752" s="1" t="s">
        <v>4</v>
      </c>
      <c r="B752" s="2" t="s">
        <v>4</v>
      </c>
      <c r="C752" s="2" t="s">
        <v>4</v>
      </c>
      <c r="D752" s="96" t="s">
        <v>1606</v>
      </c>
      <c r="E752" s="388" t="s">
        <v>1607</v>
      </c>
      <c r="F752" s="388"/>
      <c r="G752" s="97">
        <v>11.568</v>
      </c>
      <c r="H752" s="79" t="s">
        <v>4</v>
      </c>
    </row>
    <row r="753" spans="1:8" x14ac:dyDescent="0.25">
      <c r="A753" s="1" t="s">
        <v>4</v>
      </c>
      <c r="B753" s="2" t="s">
        <v>4</v>
      </c>
      <c r="C753" s="2" t="s">
        <v>4</v>
      </c>
      <c r="D753" s="96" t="s">
        <v>1608</v>
      </c>
      <c r="E753" s="388" t="s">
        <v>1609</v>
      </c>
      <c r="F753" s="388"/>
      <c r="G753" s="97">
        <v>2.218</v>
      </c>
      <c r="H753" s="79" t="s">
        <v>4</v>
      </c>
    </row>
    <row r="754" spans="1:8" x14ac:dyDescent="0.25">
      <c r="A754" s="1" t="s">
        <v>4</v>
      </c>
      <c r="B754" s="2" t="s">
        <v>4</v>
      </c>
      <c r="C754" s="2" t="s">
        <v>4</v>
      </c>
      <c r="D754" s="96" t="s">
        <v>1610</v>
      </c>
      <c r="E754" s="388" t="s">
        <v>1611</v>
      </c>
      <c r="F754" s="388"/>
      <c r="G754" s="97">
        <v>3.63</v>
      </c>
      <c r="H754" s="79" t="s">
        <v>4</v>
      </c>
    </row>
    <row r="755" spans="1:8" x14ac:dyDescent="0.25">
      <c r="A755" s="1" t="s">
        <v>1044</v>
      </c>
      <c r="B755" s="2" t="s">
        <v>89</v>
      </c>
      <c r="C755" s="2" t="s">
        <v>1045</v>
      </c>
      <c r="D755" s="280" t="s">
        <v>1046</v>
      </c>
      <c r="E755" s="280"/>
      <c r="F755" s="2" t="s">
        <v>249</v>
      </c>
      <c r="G755" s="37">
        <v>41.204999999999998</v>
      </c>
      <c r="H755" s="38">
        <v>0</v>
      </c>
    </row>
    <row r="756" spans="1:8" x14ac:dyDescent="0.25">
      <c r="A756" s="85"/>
      <c r="D756" s="96" t="s">
        <v>1612</v>
      </c>
      <c r="E756" s="388" t="s">
        <v>4</v>
      </c>
      <c r="F756" s="388"/>
      <c r="G756" s="97">
        <v>41.204999999999998</v>
      </c>
      <c r="H756" s="98"/>
    </row>
    <row r="757" spans="1:8" x14ac:dyDescent="0.25">
      <c r="A757" s="1" t="s">
        <v>1047</v>
      </c>
      <c r="B757" s="2" t="s">
        <v>89</v>
      </c>
      <c r="C757" s="2" t="s">
        <v>1048</v>
      </c>
      <c r="D757" s="280" t="s">
        <v>1049</v>
      </c>
      <c r="E757" s="280"/>
      <c r="F757" s="2" t="s">
        <v>249</v>
      </c>
      <c r="G757" s="37">
        <v>41.204999999999998</v>
      </c>
      <c r="H757" s="38">
        <v>0</v>
      </c>
    </row>
    <row r="758" spans="1:8" x14ac:dyDescent="0.25">
      <c r="A758" s="85"/>
      <c r="D758" s="96" t="s">
        <v>1612</v>
      </c>
      <c r="E758" s="388" t="s">
        <v>4</v>
      </c>
      <c r="F758" s="388"/>
      <c r="G758" s="97">
        <v>41.204999999999998</v>
      </c>
      <c r="H758" s="98"/>
    </row>
    <row r="759" spans="1:8" x14ac:dyDescent="0.25">
      <c r="A759" s="1" t="s">
        <v>1050</v>
      </c>
      <c r="B759" s="2" t="s">
        <v>89</v>
      </c>
      <c r="C759" s="2" t="s">
        <v>1051</v>
      </c>
      <c r="D759" s="280" t="s">
        <v>1052</v>
      </c>
      <c r="E759" s="280"/>
      <c r="F759" s="2" t="s">
        <v>249</v>
      </c>
      <c r="G759" s="37">
        <v>41.204999999999998</v>
      </c>
      <c r="H759" s="38">
        <v>0</v>
      </c>
    </row>
    <row r="760" spans="1:8" x14ac:dyDescent="0.25">
      <c r="A760" s="85"/>
      <c r="D760" s="96" t="s">
        <v>1612</v>
      </c>
      <c r="E760" s="388" t="s">
        <v>4</v>
      </c>
      <c r="F760" s="388"/>
      <c r="G760" s="97">
        <v>41.204999999999998</v>
      </c>
      <c r="H760" s="98"/>
    </row>
    <row r="761" spans="1:8" x14ac:dyDescent="0.25">
      <c r="A761" s="1" t="s">
        <v>1053</v>
      </c>
      <c r="B761" s="2" t="s">
        <v>89</v>
      </c>
      <c r="C761" s="2" t="s">
        <v>1054</v>
      </c>
      <c r="D761" s="280" t="s">
        <v>1055</v>
      </c>
      <c r="E761" s="280"/>
      <c r="F761" s="2" t="s">
        <v>249</v>
      </c>
      <c r="G761" s="37">
        <v>49.445999999999998</v>
      </c>
      <c r="H761" s="38">
        <v>0</v>
      </c>
    </row>
    <row r="762" spans="1:8" x14ac:dyDescent="0.25">
      <c r="A762" s="85"/>
      <c r="D762" s="96" t="s">
        <v>1612</v>
      </c>
      <c r="E762" s="388" t="s">
        <v>4</v>
      </c>
      <c r="F762" s="388"/>
      <c r="G762" s="97">
        <v>41.204999999999998</v>
      </c>
      <c r="H762" s="98"/>
    </row>
    <row r="763" spans="1:8" x14ac:dyDescent="0.25">
      <c r="A763" s="1" t="s">
        <v>4</v>
      </c>
      <c r="B763" s="2" t="s">
        <v>4</v>
      </c>
      <c r="C763" s="2" t="s">
        <v>4</v>
      </c>
      <c r="D763" s="96" t="s">
        <v>1613</v>
      </c>
      <c r="E763" s="388" t="s">
        <v>4</v>
      </c>
      <c r="F763" s="388"/>
      <c r="G763" s="97">
        <v>8.2409999999999997</v>
      </c>
      <c r="H763" s="79" t="s">
        <v>4</v>
      </c>
    </row>
    <row r="764" spans="1:8" x14ac:dyDescent="0.25">
      <c r="A764" s="1" t="s">
        <v>1056</v>
      </c>
      <c r="B764" s="2" t="s">
        <v>89</v>
      </c>
      <c r="C764" s="2" t="s">
        <v>1057</v>
      </c>
      <c r="D764" s="280" t="s">
        <v>1058</v>
      </c>
      <c r="E764" s="280"/>
      <c r="F764" s="2" t="s">
        <v>63</v>
      </c>
      <c r="G764" s="37">
        <v>741.89189999999996</v>
      </c>
      <c r="H764" s="38">
        <v>0</v>
      </c>
    </row>
    <row r="765" spans="1:8" x14ac:dyDescent="0.25">
      <c r="A765" s="85"/>
      <c r="D765" s="96" t="s">
        <v>1614</v>
      </c>
      <c r="E765" s="388" t="s">
        <v>4</v>
      </c>
      <c r="F765" s="388"/>
      <c r="G765" s="97">
        <v>741.89189999999996</v>
      </c>
      <c r="H765" s="98"/>
    </row>
    <row r="766" spans="1:8" x14ac:dyDescent="0.25">
      <c r="A766" s="1" t="s">
        <v>1059</v>
      </c>
      <c r="B766" s="2" t="s">
        <v>89</v>
      </c>
      <c r="C766" s="2" t="s">
        <v>1060</v>
      </c>
      <c r="D766" s="280" t="s">
        <v>1061</v>
      </c>
      <c r="E766" s="280"/>
      <c r="F766" s="2" t="s">
        <v>249</v>
      </c>
      <c r="G766" s="37">
        <v>4.242</v>
      </c>
      <c r="H766" s="38">
        <v>0</v>
      </c>
    </row>
    <row r="767" spans="1:8" x14ac:dyDescent="0.25">
      <c r="A767" s="85"/>
      <c r="D767" s="96" t="s">
        <v>1615</v>
      </c>
      <c r="E767" s="388" t="s">
        <v>1616</v>
      </c>
      <c r="F767" s="388"/>
      <c r="G767" s="97">
        <v>4.242</v>
      </c>
      <c r="H767" s="98"/>
    </row>
    <row r="768" spans="1:8" x14ac:dyDescent="0.25">
      <c r="A768" s="1" t="s">
        <v>1063</v>
      </c>
      <c r="B768" s="2" t="s">
        <v>89</v>
      </c>
      <c r="C768" s="2" t="s">
        <v>1064</v>
      </c>
      <c r="D768" s="280" t="s">
        <v>1065</v>
      </c>
      <c r="E768" s="280"/>
      <c r="F768" s="2" t="s">
        <v>249</v>
      </c>
      <c r="G768" s="37">
        <v>9.0688800000000001</v>
      </c>
      <c r="H768" s="38">
        <v>0</v>
      </c>
    </row>
    <row r="769" spans="1:8" x14ac:dyDescent="0.25">
      <c r="A769" s="85"/>
      <c r="D769" s="96" t="s">
        <v>1617</v>
      </c>
      <c r="E769" s="388" t="s">
        <v>1618</v>
      </c>
      <c r="F769" s="388"/>
      <c r="G769" s="97">
        <v>5.01816</v>
      </c>
      <c r="H769" s="98"/>
    </row>
    <row r="770" spans="1:8" x14ac:dyDescent="0.25">
      <c r="A770" s="1" t="s">
        <v>4</v>
      </c>
      <c r="B770" s="2" t="s">
        <v>4</v>
      </c>
      <c r="C770" s="2" t="s">
        <v>4</v>
      </c>
      <c r="D770" s="96" t="s">
        <v>1619</v>
      </c>
      <c r="E770" s="388" t="s">
        <v>1620</v>
      </c>
      <c r="F770" s="388"/>
      <c r="G770" s="97">
        <v>4.0507200000000001</v>
      </c>
      <c r="H770" s="79" t="s">
        <v>4</v>
      </c>
    </row>
    <row r="771" spans="1:8" x14ac:dyDescent="0.25">
      <c r="A771" s="1" t="s">
        <v>1066</v>
      </c>
      <c r="B771" s="2" t="s">
        <v>89</v>
      </c>
      <c r="C771" s="2" t="s">
        <v>1067</v>
      </c>
      <c r="D771" s="280" t="s">
        <v>1068</v>
      </c>
      <c r="E771" s="280"/>
      <c r="F771" s="2" t="s">
        <v>249</v>
      </c>
      <c r="G771" s="37">
        <v>148.3904</v>
      </c>
      <c r="H771" s="38">
        <v>0</v>
      </c>
    </row>
    <row r="772" spans="1:8" x14ac:dyDescent="0.25">
      <c r="A772" s="85"/>
      <c r="D772" s="96" t="s">
        <v>1486</v>
      </c>
      <c r="E772" s="388" t="s">
        <v>4</v>
      </c>
      <c r="F772" s="388"/>
      <c r="G772" s="97">
        <v>134.4212</v>
      </c>
      <c r="H772" s="98"/>
    </row>
    <row r="773" spans="1:8" x14ac:dyDescent="0.25">
      <c r="A773" s="1" t="s">
        <v>4</v>
      </c>
      <c r="B773" s="2" t="s">
        <v>4</v>
      </c>
      <c r="C773" s="2" t="s">
        <v>4</v>
      </c>
      <c r="D773" s="96" t="s">
        <v>1487</v>
      </c>
      <c r="E773" s="388" t="s">
        <v>4</v>
      </c>
      <c r="F773" s="388"/>
      <c r="G773" s="97">
        <v>13.969200000000001</v>
      </c>
      <c r="H773" s="79" t="s">
        <v>4</v>
      </c>
    </row>
    <row r="774" spans="1:8" x14ac:dyDescent="0.25">
      <c r="A774" s="1" t="s">
        <v>1069</v>
      </c>
      <c r="B774" s="2" t="s">
        <v>89</v>
      </c>
      <c r="C774" s="2" t="s">
        <v>1070</v>
      </c>
      <c r="D774" s="280" t="s">
        <v>1071</v>
      </c>
      <c r="E774" s="280"/>
      <c r="F774" s="2" t="s">
        <v>249</v>
      </c>
      <c r="G774" s="37">
        <v>75.900000000000006</v>
      </c>
      <c r="H774" s="38">
        <v>0</v>
      </c>
    </row>
    <row r="775" spans="1:8" x14ac:dyDescent="0.25">
      <c r="A775" s="85"/>
      <c r="D775" s="96" t="s">
        <v>1621</v>
      </c>
      <c r="E775" s="388" t="s">
        <v>1468</v>
      </c>
      <c r="F775" s="388"/>
      <c r="G775" s="97">
        <v>55.51</v>
      </c>
      <c r="H775" s="98"/>
    </row>
    <row r="776" spans="1:8" x14ac:dyDescent="0.25">
      <c r="A776" s="1" t="s">
        <v>4</v>
      </c>
      <c r="B776" s="2" t="s">
        <v>4</v>
      </c>
      <c r="C776" s="2" t="s">
        <v>4</v>
      </c>
      <c r="D776" s="96" t="s">
        <v>1622</v>
      </c>
      <c r="E776" s="388" t="s">
        <v>1470</v>
      </c>
      <c r="F776" s="388"/>
      <c r="G776" s="97">
        <v>20.39</v>
      </c>
      <c r="H776" s="79" t="s">
        <v>4</v>
      </c>
    </row>
    <row r="777" spans="1:8" x14ac:dyDescent="0.25">
      <c r="A777" s="1" t="s">
        <v>1073</v>
      </c>
      <c r="B777" s="2" t="s">
        <v>89</v>
      </c>
      <c r="C777" s="2" t="s">
        <v>1074</v>
      </c>
      <c r="D777" s="280" t="s">
        <v>1075</v>
      </c>
      <c r="E777" s="280"/>
      <c r="F777" s="2" t="s">
        <v>249</v>
      </c>
      <c r="G777" s="37">
        <v>85.444999999999993</v>
      </c>
      <c r="H777" s="38">
        <v>0</v>
      </c>
    </row>
    <row r="778" spans="1:8" x14ac:dyDescent="0.25">
      <c r="A778" s="85"/>
      <c r="D778" s="96" t="s">
        <v>1623</v>
      </c>
      <c r="E778" s="388" t="s">
        <v>4</v>
      </c>
      <c r="F778" s="388"/>
      <c r="G778" s="97">
        <v>79.995000000000005</v>
      </c>
      <c r="H778" s="98"/>
    </row>
    <row r="779" spans="1:8" x14ac:dyDescent="0.25">
      <c r="A779" s="1" t="s">
        <v>4</v>
      </c>
      <c r="B779" s="2" t="s">
        <v>4</v>
      </c>
      <c r="C779" s="2" t="s">
        <v>4</v>
      </c>
      <c r="D779" s="96" t="s">
        <v>1624</v>
      </c>
      <c r="E779" s="388" t="s">
        <v>4</v>
      </c>
      <c r="F779" s="388"/>
      <c r="G779" s="97">
        <v>5.45</v>
      </c>
      <c r="H779" s="79" t="s">
        <v>4</v>
      </c>
    </row>
    <row r="780" spans="1:8" x14ac:dyDescent="0.25">
      <c r="A780" s="1" t="s">
        <v>1076</v>
      </c>
      <c r="B780" s="2" t="s">
        <v>89</v>
      </c>
      <c r="C780" s="2" t="s">
        <v>1077</v>
      </c>
      <c r="D780" s="280" t="s">
        <v>1078</v>
      </c>
      <c r="E780" s="280"/>
      <c r="F780" s="2" t="s">
        <v>249</v>
      </c>
      <c r="G780" s="37">
        <v>113.2227</v>
      </c>
      <c r="H780" s="38">
        <v>0</v>
      </c>
    </row>
    <row r="781" spans="1:8" x14ac:dyDescent="0.25">
      <c r="A781" s="85"/>
      <c r="D781" s="96" t="s">
        <v>1625</v>
      </c>
      <c r="E781" s="388" t="s">
        <v>4</v>
      </c>
      <c r="F781" s="388"/>
      <c r="G781" s="97">
        <v>113.2227</v>
      </c>
      <c r="H781" s="98"/>
    </row>
    <row r="782" spans="1:8" x14ac:dyDescent="0.25">
      <c r="A782" s="1" t="s">
        <v>1079</v>
      </c>
      <c r="B782" s="2" t="s">
        <v>89</v>
      </c>
      <c r="C782" s="2" t="s">
        <v>1080</v>
      </c>
      <c r="D782" s="280" t="s">
        <v>1081</v>
      </c>
      <c r="E782" s="280"/>
      <c r="F782" s="2" t="s">
        <v>249</v>
      </c>
      <c r="G782" s="37">
        <v>113.2227</v>
      </c>
      <c r="H782" s="38">
        <v>0</v>
      </c>
    </row>
    <row r="783" spans="1:8" x14ac:dyDescent="0.25">
      <c r="A783" s="85"/>
      <c r="D783" s="96" t="s">
        <v>1625</v>
      </c>
      <c r="E783" s="388" t="s">
        <v>4</v>
      </c>
      <c r="F783" s="388"/>
      <c r="G783" s="97">
        <v>113.2227</v>
      </c>
      <c r="H783" s="98"/>
    </row>
    <row r="784" spans="1:8" x14ac:dyDescent="0.25">
      <c r="A784" s="1" t="s">
        <v>1082</v>
      </c>
      <c r="B784" s="2" t="s">
        <v>89</v>
      </c>
      <c r="C784" s="2" t="s">
        <v>1083</v>
      </c>
      <c r="D784" s="280" t="s">
        <v>1084</v>
      </c>
      <c r="E784" s="280"/>
      <c r="F784" s="2" t="s">
        <v>249</v>
      </c>
      <c r="G784" s="37">
        <v>134.4212</v>
      </c>
      <c r="H784" s="38">
        <v>0</v>
      </c>
    </row>
    <row r="785" spans="1:8" x14ac:dyDescent="0.25">
      <c r="A785" s="85"/>
      <c r="D785" s="96" t="s">
        <v>1486</v>
      </c>
      <c r="E785" s="388" t="s">
        <v>4</v>
      </c>
      <c r="F785" s="388"/>
      <c r="G785" s="97">
        <v>134.4212</v>
      </c>
      <c r="H785" s="98"/>
    </row>
    <row r="786" spans="1:8" x14ac:dyDescent="0.25">
      <c r="A786" s="1" t="s">
        <v>1085</v>
      </c>
      <c r="B786" s="2" t="s">
        <v>89</v>
      </c>
      <c r="C786" s="2" t="s">
        <v>1086</v>
      </c>
      <c r="D786" s="280" t="s">
        <v>1087</v>
      </c>
      <c r="E786" s="280"/>
      <c r="F786" s="2" t="s">
        <v>249</v>
      </c>
      <c r="G786" s="37">
        <v>134.4212</v>
      </c>
      <c r="H786" s="38">
        <v>0</v>
      </c>
    </row>
    <row r="787" spans="1:8" x14ac:dyDescent="0.25">
      <c r="A787" s="85"/>
      <c r="D787" s="96" t="s">
        <v>1486</v>
      </c>
      <c r="E787" s="388" t="s">
        <v>4</v>
      </c>
      <c r="F787" s="388"/>
      <c r="G787" s="97">
        <v>134.4212</v>
      </c>
      <c r="H787" s="98"/>
    </row>
    <row r="788" spans="1:8" x14ac:dyDescent="0.25">
      <c r="A788" s="1" t="s">
        <v>1088</v>
      </c>
      <c r="B788" s="2" t="s">
        <v>89</v>
      </c>
      <c r="C788" s="2" t="s">
        <v>1089</v>
      </c>
      <c r="D788" s="280" t="s">
        <v>1090</v>
      </c>
      <c r="E788" s="280"/>
      <c r="F788" s="2" t="s">
        <v>249</v>
      </c>
      <c r="G788" s="37">
        <v>20.187000000000001</v>
      </c>
      <c r="H788" s="38">
        <v>0</v>
      </c>
    </row>
    <row r="789" spans="1:8" x14ac:dyDescent="0.25">
      <c r="A789" s="85"/>
      <c r="D789" s="96" t="s">
        <v>1626</v>
      </c>
      <c r="E789" s="388" t="s">
        <v>1516</v>
      </c>
      <c r="F789" s="388"/>
      <c r="G789" s="97">
        <v>1.85</v>
      </c>
      <c r="H789" s="98"/>
    </row>
    <row r="790" spans="1:8" x14ac:dyDescent="0.25">
      <c r="A790" s="1" t="s">
        <v>4</v>
      </c>
      <c r="B790" s="2" t="s">
        <v>4</v>
      </c>
      <c r="C790" s="2" t="s">
        <v>4</v>
      </c>
      <c r="D790" s="96" t="s">
        <v>1627</v>
      </c>
      <c r="E790" s="388" t="s">
        <v>1517</v>
      </c>
      <c r="F790" s="388"/>
      <c r="G790" s="97">
        <v>1.25</v>
      </c>
      <c r="H790" s="79" t="s">
        <v>4</v>
      </c>
    </row>
    <row r="791" spans="1:8" x14ac:dyDescent="0.25">
      <c r="A791" s="1" t="s">
        <v>4</v>
      </c>
      <c r="B791" s="2" t="s">
        <v>4</v>
      </c>
      <c r="C791" s="2" t="s">
        <v>4</v>
      </c>
      <c r="D791" s="96" t="s">
        <v>1628</v>
      </c>
      <c r="E791" s="388" t="s">
        <v>1523</v>
      </c>
      <c r="F791" s="388"/>
      <c r="G791" s="97">
        <v>5.9450000000000003</v>
      </c>
      <c r="H791" s="79" t="s">
        <v>4</v>
      </c>
    </row>
    <row r="792" spans="1:8" x14ac:dyDescent="0.25">
      <c r="A792" s="1" t="s">
        <v>4</v>
      </c>
      <c r="B792" s="2" t="s">
        <v>4</v>
      </c>
      <c r="C792" s="2" t="s">
        <v>4</v>
      </c>
      <c r="D792" s="96" t="s">
        <v>1629</v>
      </c>
      <c r="E792" s="388" t="s">
        <v>1524</v>
      </c>
      <c r="F792" s="388"/>
      <c r="G792" s="97">
        <v>3.907</v>
      </c>
      <c r="H792" s="79" t="s">
        <v>4</v>
      </c>
    </row>
    <row r="793" spans="1:8" x14ac:dyDescent="0.25">
      <c r="A793" s="1" t="s">
        <v>4</v>
      </c>
      <c r="B793" s="2" t="s">
        <v>4</v>
      </c>
      <c r="C793" s="2" t="s">
        <v>4</v>
      </c>
      <c r="D793" s="96" t="s">
        <v>1630</v>
      </c>
      <c r="E793" s="388" t="s">
        <v>1525</v>
      </c>
      <c r="F793" s="388"/>
      <c r="G793" s="97">
        <v>2.9</v>
      </c>
      <c r="H793" s="79" t="s">
        <v>4</v>
      </c>
    </row>
    <row r="794" spans="1:8" x14ac:dyDescent="0.25">
      <c r="A794" s="1" t="s">
        <v>4</v>
      </c>
      <c r="B794" s="2" t="s">
        <v>4</v>
      </c>
      <c r="C794" s="2" t="s">
        <v>4</v>
      </c>
      <c r="D794" s="96" t="s">
        <v>1631</v>
      </c>
      <c r="E794" s="388" t="s">
        <v>1527</v>
      </c>
      <c r="F794" s="388"/>
      <c r="G794" s="97">
        <v>2.1749999999999998</v>
      </c>
      <c r="H794" s="79" t="s">
        <v>4</v>
      </c>
    </row>
    <row r="795" spans="1:8" x14ac:dyDescent="0.25">
      <c r="A795" s="1" t="s">
        <v>4</v>
      </c>
      <c r="B795" s="2" t="s">
        <v>4</v>
      </c>
      <c r="C795" s="2" t="s">
        <v>4</v>
      </c>
      <c r="D795" s="96" t="s">
        <v>1632</v>
      </c>
      <c r="E795" s="388" t="s">
        <v>1529</v>
      </c>
      <c r="F795" s="388"/>
      <c r="G795" s="97">
        <v>2.16</v>
      </c>
      <c r="H795" s="79" t="s">
        <v>4</v>
      </c>
    </row>
    <row r="796" spans="1:8" x14ac:dyDescent="0.25">
      <c r="A796" s="1" t="s">
        <v>1092</v>
      </c>
      <c r="B796" s="2" t="s">
        <v>89</v>
      </c>
      <c r="C796" s="2" t="s">
        <v>1093</v>
      </c>
      <c r="D796" s="280" t="s">
        <v>1094</v>
      </c>
      <c r="E796" s="280"/>
      <c r="F796" s="2" t="s">
        <v>63</v>
      </c>
      <c r="G796" s="37">
        <v>168.30510000000001</v>
      </c>
      <c r="H796" s="38">
        <v>0</v>
      </c>
    </row>
    <row r="797" spans="1:8" x14ac:dyDescent="0.25">
      <c r="A797" s="85"/>
      <c r="D797" s="96" t="s">
        <v>1633</v>
      </c>
      <c r="E797" s="388" t="s">
        <v>4</v>
      </c>
      <c r="F797" s="388"/>
      <c r="G797" s="97">
        <v>168.30510000000001</v>
      </c>
      <c r="H797" s="98"/>
    </row>
    <row r="798" spans="1:8" x14ac:dyDescent="0.25">
      <c r="A798" s="1" t="s">
        <v>1095</v>
      </c>
      <c r="B798" s="2" t="s">
        <v>89</v>
      </c>
      <c r="C798" s="2" t="s">
        <v>1096</v>
      </c>
      <c r="D798" s="280" t="s">
        <v>1097</v>
      </c>
      <c r="E798" s="280"/>
      <c r="F798" s="2" t="s">
        <v>249</v>
      </c>
      <c r="G798" s="37">
        <v>3.04</v>
      </c>
      <c r="H798" s="38">
        <v>0</v>
      </c>
    </row>
    <row r="799" spans="1:8" x14ac:dyDescent="0.25">
      <c r="A799" s="85"/>
      <c r="D799" s="96" t="s">
        <v>1634</v>
      </c>
      <c r="E799" s="388" t="s">
        <v>4</v>
      </c>
      <c r="F799" s="388"/>
      <c r="G799" s="97">
        <v>3.04</v>
      </c>
      <c r="H799" s="98"/>
    </row>
    <row r="800" spans="1:8" x14ac:dyDescent="0.25">
      <c r="A800" s="1" t="s">
        <v>1099</v>
      </c>
      <c r="B800" s="2" t="s">
        <v>89</v>
      </c>
      <c r="C800" s="2" t="s">
        <v>1100</v>
      </c>
      <c r="D800" s="280" t="s">
        <v>1101</v>
      </c>
      <c r="E800" s="280"/>
      <c r="F800" s="2" t="s">
        <v>329</v>
      </c>
      <c r="G800" s="37">
        <v>2</v>
      </c>
      <c r="H800" s="38">
        <v>0</v>
      </c>
    </row>
    <row r="801" spans="1:8" x14ac:dyDescent="0.25">
      <c r="A801" s="85"/>
      <c r="D801" s="96" t="s">
        <v>227</v>
      </c>
      <c r="E801" s="388" t="s">
        <v>4</v>
      </c>
      <c r="F801" s="388"/>
      <c r="G801" s="97">
        <v>2</v>
      </c>
      <c r="H801" s="98"/>
    </row>
    <row r="802" spans="1:8" x14ac:dyDescent="0.25">
      <c r="A802" s="1" t="s">
        <v>1102</v>
      </c>
      <c r="B802" s="2" t="s">
        <v>89</v>
      </c>
      <c r="C802" s="2" t="s">
        <v>1103</v>
      </c>
      <c r="D802" s="280" t="s">
        <v>1104</v>
      </c>
      <c r="E802" s="280"/>
      <c r="F802" s="2" t="s">
        <v>63</v>
      </c>
      <c r="G802" s="37">
        <v>396.08319999999998</v>
      </c>
      <c r="H802" s="38">
        <v>0</v>
      </c>
    </row>
    <row r="803" spans="1:8" x14ac:dyDescent="0.25">
      <c r="A803" s="85"/>
      <c r="D803" s="96" t="s">
        <v>1635</v>
      </c>
      <c r="E803" s="388" t="s">
        <v>4</v>
      </c>
      <c r="F803" s="388"/>
      <c r="G803" s="97">
        <v>396.08319999999998</v>
      </c>
      <c r="H803" s="98"/>
    </row>
    <row r="804" spans="1:8" x14ac:dyDescent="0.25">
      <c r="A804" s="1" t="s">
        <v>1105</v>
      </c>
      <c r="B804" s="2" t="s">
        <v>89</v>
      </c>
      <c r="C804" s="2" t="s">
        <v>1106</v>
      </c>
      <c r="D804" s="280" t="s">
        <v>1107</v>
      </c>
      <c r="E804" s="280"/>
      <c r="F804" s="2" t="s">
        <v>333</v>
      </c>
      <c r="G804" s="37">
        <v>4</v>
      </c>
      <c r="H804" s="38">
        <v>0</v>
      </c>
    </row>
    <row r="805" spans="1:8" x14ac:dyDescent="0.25">
      <c r="A805" s="85"/>
      <c r="D805" s="96" t="s">
        <v>233</v>
      </c>
      <c r="E805" s="388" t="s">
        <v>4</v>
      </c>
      <c r="F805" s="388"/>
      <c r="G805" s="97">
        <v>4</v>
      </c>
      <c r="H805" s="98"/>
    </row>
    <row r="806" spans="1:8" x14ac:dyDescent="0.25">
      <c r="A806" s="1" t="s">
        <v>1110</v>
      </c>
      <c r="B806" s="2" t="s">
        <v>89</v>
      </c>
      <c r="C806" s="2" t="s">
        <v>1111</v>
      </c>
      <c r="D806" s="280" t="s">
        <v>1112</v>
      </c>
      <c r="E806" s="280"/>
      <c r="F806" s="2" t="s">
        <v>329</v>
      </c>
      <c r="G806" s="37">
        <v>1</v>
      </c>
      <c r="H806" s="38">
        <v>0</v>
      </c>
    </row>
    <row r="807" spans="1:8" x14ac:dyDescent="0.25">
      <c r="A807" s="85"/>
      <c r="D807" s="96" t="s">
        <v>219</v>
      </c>
      <c r="E807" s="388" t="s">
        <v>4</v>
      </c>
      <c r="F807" s="388"/>
      <c r="G807" s="97">
        <v>1</v>
      </c>
      <c r="H807" s="98"/>
    </row>
    <row r="808" spans="1:8" x14ac:dyDescent="0.25">
      <c r="A808" s="1" t="s">
        <v>1114</v>
      </c>
      <c r="B808" s="2" t="s">
        <v>89</v>
      </c>
      <c r="C808" s="2" t="s">
        <v>1115</v>
      </c>
      <c r="D808" s="280" t="s">
        <v>1116</v>
      </c>
      <c r="E808" s="280"/>
      <c r="F808" s="2" t="s">
        <v>329</v>
      </c>
      <c r="G808" s="37">
        <v>1</v>
      </c>
      <c r="H808" s="38">
        <v>0</v>
      </c>
    </row>
    <row r="809" spans="1:8" x14ac:dyDescent="0.25">
      <c r="A809" s="85"/>
      <c r="D809" s="96" t="s">
        <v>219</v>
      </c>
      <c r="E809" s="388" t="s">
        <v>4</v>
      </c>
      <c r="F809" s="388"/>
      <c r="G809" s="97">
        <v>1</v>
      </c>
      <c r="H809" s="98"/>
    </row>
    <row r="810" spans="1:8" x14ac:dyDescent="0.25">
      <c r="A810" s="1" t="s">
        <v>1117</v>
      </c>
      <c r="B810" s="2" t="s">
        <v>89</v>
      </c>
      <c r="C810" s="2" t="s">
        <v>1118</v>
      </c>
      <c r="D810" s="280" t="s">
        <v>1119</v>
      </c>
      <c r="E810" s="280"/>
      <c r="F810" s="2" t="s">
        <v>329</v>
      </c>
      <c r="G810" s="37">
        <v>1</v>
      </c>
      <c r="H810" s="38">
        <v>0</v>
      </c>
    </row>
    <row r="811" spans="1:8" x14ac:dyDescent="0.25">
      <c r="A811" s="85"/>
      <c r="D811" s="96" t="s">
        <v>219</v>
      </c>
      <c r="E811" s="388" t="s">
        <v>4</v>
      </c>
      <c r="F811" s="388"/>
      <c r="G811" s="97">
        <v>1</v>
      </c>
      <c r="H811" s="98"/>
    </row>
    <row r="812" spans="1:8" x14ac:dyDescent="0.25">
      <c r="A812" s="1" t="s">
        <v>1120</v>
      </c>
      <c r="B812" s="2" t="s">
        <v>89</v>
      </c>
      <c r="C812" s="2" t="s">
        <v>1121</v>
      </c>
      <c r="D812" s="280" t="s">
        <v>1122</v>
      </c>
      <c r="E812" s="280"/>
      <c r="F812" s="2" t="s">
        <v>329</v>
      </c>
      <c r="G812" s="37">
        <v>1</v>
      </c>
      <c r="H812" s="38">
        <v>0</v>
      </c>
    </row>
    <row r="813" spans="1:8" x14ac:dyDescent="0.25">
      <c r="A813" s="85"/>
      <c r="D813" s="96" t="s">
        <v>219</v>
      </c>
      <c r="E813" s="388" t="s">
        <v>4</v>
      </c>
      <c r="F813" s="388"/>
      <c r="G813" s="97">
        <v>1</v>
      </c>
      <c r="H813" s="98"/>
    </row>
    <row r="814" spans="1:8" x14ac:dyDescent="0.25">
      <c r="A814" s="1" t="s">
        <v>1123</v>
      </c>
      <c r="B814" s="2" t="s">
        <v>89</v>
      </c>
      <c r="C814" s="2" t="s">
        <v>1124</v>
      </c>
      <c r="D814" s="280" t="s">
        <v>1125</v>
      </c>
      <c r="E814" s="280"/>
      <c r="F814" s="2" t="s">
        <v>329</v>
      </c>
      <c r="G814" s="37">
        <v>4</v>
      </c>
      <c r="H814" s="38">
        <v>0</v>
      </c>
    </row>
    <row r="815" spans="1:8" x14ac:dyDescent="0.25">
      <c r="A815" s="85"/>
      <c r="D815" s="96" t="s">
        <v>233</v>
      </c>
      <c r="E815" s="388" t="s">
        <v>4</v>
      </c>
      <c r="F815" s="388"/>
      <c r="G815" s="97">
        <v>4</v>
      </c>
      <c r="H815" s="98"/>
    </row>
    <row r="816" spans="1:8" x14ac:dyDescent="0.25">
      <c r="A816" s="1" t="s">
        <v>1127</v>
      </c>
      <c r="B816" s="2" t="s">
        <v>89</v>
      </c>
      <c r="C816" s="2" t="s">
        <v>1128</v>
      </c>
      <c r="D816" s="280" t="s">
        <v>1129</v>
      </c>
      <c r="E816" s="280"/>
      <c r="F816" s="2" t="s">
        <v>329</v>
      </c>
      <c r="G816" s="37">
        <v>2</v>
      </c>
      <c r="H816" s="38">
        <v>0</v>
      </c>
    </row>
    <row r="817" spans="1:8" x14ac:dyDescent="0.25">
      <c r="A817" s="85"/>
      <c r="D817" s="96" t="s">
        <v>227</v>
      </c>
      <c r="E817" s="388" t="s">
        <v>4</v>
      </c>
      <c r="F817" s="388"/>
      <c r="G817" s="97">
        <v>2</v>
      </c>
      <c r="H817" s="98"/>
    </row>
    <row r="818" spans="1:8" x14ac:dyDescent="0.25">
      <c r="A818" s="1" t="s">
        <v>1130</v>
      </c>
      <c r="B818" s="2" t="s">
        <v>89</v>
      </c>
      <c r="C818" s="2" t="s">
        <v>1131</v>
      </c>
      <c r="D818" s="280" t="s">
        <v>1132</v>
      </c>
      <c r="E818" s="280"/>
      <c r="F818" s="2" t="s">
        <v>329</v>
      </c>
      <c r="G818" s="37">
        <v>1</v>
      </c>
      <c r="H818" s="38">
        <v>0</v>
      </c>
    </row>
    <row r="819" spans="1:8" x14ac:dyDescent="0.25">
      <c r="A819" s="85"/>
      <c r="D819" s="96" t="s">
        <v>219</v>
      </c>
      <c r="E819" s="388" t="s">
        <v>4</v>
      </c>
      <c r="F819" s="388"/>
      <c r="G819" s="97">
        <v>1</v>
      </c>
      <c r="H819" s="98"/>
    </row>
    <row r="820" spans="1:8" x14ac:dyDescent="0.25">
      <c r="A820" s="1" t="s">
        <v>1133</v>
      </c>
      <c r="B820" s="2" t="s">
        <v>89</v>
      </c>
      <c r="C820" s="2" t="s">
        <v>1134</v>
      </c>
      <c r="D820" s="280" t="s">
        <v>1135</v>
      </c>
      <c r="E820" s="280"/>
      <c r="F820" s="2" t="s">
        <v>329</v>
      </c>
      <c r="G820" s="37">
        <v>1</v>
      </c>
      <c r="H820" s="38">
        <v>0</v>
      </c>
    </row>
    <row r="821" spans="1:8" x14ac:dyDescent="0.25">
      <c r="A821" s="85"/>
      <c r="D821" s="96" t="s">
        <v>219</v>
      </c>
      <c r="E821" s="388" t="s">
        <v>4</v>
      </c>
      <c r="F821" s="388"/>
      <c r="G821" s="97">
        <v>1</v>
      </c>
      <c r="H821" s="98"/>
    </row>
    <row r="822" spans="1:8" x14ac:dyDescent="0.25">
      <c r="A822" s="1" t="s">
        <v>1136</v>
      </c>
      <c r="B822" s="2" t="s">
        <v>89</v>
      </c>
      <c r="C822" s="2" t="s">
        <v>1137</v>
      </c>
      <c r="D822" s="280" t="s">
        <v>1138</v>
      </c>
      <c r="E822" s="280"/>
      <c r="F822" s="2" t="s">
        <v>329</v>
      </c>
      <c r="G822" s="37">
        <v>1</v>
      </c>
      <c r="H822" s="38">
        <v>0</v>
      </c>
    </row>
    <row r="823" spans="1:8" x14ac:dyDescent="0.25">
      <c r="A823" s="85"/>
      <c r="D823" s="96" t="s">
        <v>219</v>
      </c>
      <c r="E823" s="388" t="s">
        <v>4</v>
      </c>
      <c r="F823" s="388"/>
      <c r="G823" s="97">
        <v>1</v>
      </c>
      <c r="H823" s="98"/>
    </row>
    <row r="824" spans="1:8" x14ac:dyDescent="0.25">
      <c r="A824" s="1" t="s">
        <v>1139</v>
      </c>
      <c r="B824" s="2" t="s">
        <v>89</v>
      </c>
      <c r="C824" s="2" t="s">
        <v>1140</v>
      </c>
      <c r="D824" s="280" t="s">
        <v>1141</v>
      </c>
      <c r="E824" s="280"/>
      <c r="F824" s="2" t="s">
        <v>333</v>
      </c>
      <c r="G824" s="37">
        <v>12.6</v>
      </c>
      <c r="H824" s="38">
        <v>0</v>
      </c>
    </row>
    <row r="825" spans="1:8" x14ac:dyDescent="0.25">
      <c r="A825" s="85"/>
      <c r="D825" s="96" t="s">
        <v>1636</v>
      </c>
      <c r="E825" s="388" t="s">
        <v>1358</v>
      </c>
      <c r="F825" s="388"/>
      <c r="G825" s="97">
        <v>10.4</v>
      </c>
      <c r="H825" s="98"/>
    </row>
    <row r="826" spans="1:8" x14ac:dyDescent="0.25">
      <c r="A826" s="1" t="s">
        <v>4</v>
      </c>
      <c r="B826" s="2" t="s">
        <v>4</v>
      </c>
      <c r="C826" s="2" t="s">
        <v>4</v>
      </c>
      <c r="D826" s="96" t="s">
        <v>1637</v>
      </c>
      <c r="E826" s="388" t="s">
        <v>4</v>
      </c>
      <c r="F826" s="388"/>
      <c r="G826" s="97">
        <v>0</v>
      </c>
      <c r="H826" s="79" t="s">
        <v>4</v>
      </c>
    </row>
    <row r="827" spans="1:8" x14ac:dyDescent="0.25">
      <c r="A827" s="1" t="s">
        <v>4</v>
      </c>
      <c r="B827" s="2" t="s">
        <v>4</v>
      </c>
      <c r="C827" s="2" t="s">
        <v>4</v>
      </c>
      <c r="D827" s="96" t="s">
        <v>1638</v>
      </c>
      <c r="E827" s="388" t="s">
        <v>4</v>
      </c>
      <c r="F827" s="388"/>
      <c r="G827" s="97">
        <v>2.2000000000000002</v>
      </c>
      <c r="H827" s="79" t="s">
        <v>4</v>
      </c>
    </row>
    <row r="828" spans="1:8" x14ac:dyDescent="0.25">
      <c r="A828" s="1" t="s">
        <v>1144</v>
      </c>
      <c r="B828" s="2" t="s">
        <v>89</v>
      </c>
      <c r="C828" s="2" t="s">
        <v>1145</v>
      </c>
      <c r="D828" s="280" t="s">
        <v>1146</v>
      </c>
      <c r="E828" s="280"/>
      <c r="F828" s="2" t="s">
        <v>333</v>
      </c>
      <c r="G828" s="37">
        <v>22.85</v>
      </c>
      <c r="H828" s="38">
        <v>0</v>
      </c>
    </row>
    <row r="829" spans="1:8" x14ac:dyDescent="0.25">
      <c r="A829" s="85"/>
      <c r="D829" s="96" t="s">
        <v>1461</v>
      </c>
      <c r="E829" s="388" t="s">
        <v>4</v>
      </c>
      <c r="F829" s="388"/>
      <c r="G829" s="97">
        <v>22.85</v>
      </c>
      <c r="H829" s="98"/>
    </row>
    <row r="830" spans="1:8" x14ac:dyDescent="0.25">
      <c r="A830" s="1" t="s">
        <v>1147</v>
      </c>
      <c r="B830" s="2" t="s">
        <v>89</v>
      </c>
      <c r="C830" s="2" t="s">
        <v>1148</v>
      </c>
      <c r="D830" s="280" t="s">
        <v>1149</v>
      </c>
      <c r="E830" s="280"/>
      <c r="F830" s="2" t="s">
        <v>333</v>
      </c>
      <c r="G830" s="37">
        <v>26.25</v>
      </c>
      <c r="H830" s="38">
        <v>0</v>
      </c>
    </row>
    <row r="831" spans="1:8" x14ac:dyDescent="0.25">
      <c r="A831" s="85"/>
      <c r="D831" s="96" t="s">
        <v>1639</v>
      </c>
      <c r="E831" s="388" t="s">
        <v>4</v>
      </c>
      <c r="F831" s="388"/>
      <c r="G831" s="97">
        <v>26.25</v>
      </c>
      <c r="H831" s="98"/>
    </row>
    <row r="832" spans="1:8" x14ac:dyDescent="0.25">
      <c r="A832" s="1" t="s">
        <v>1150</v>
      </c>
      <c r="B832" s="2" t="s">
        <v>89</v>
      </c>
      <c r="C832" s="2" t="s">
        <v>1151</v>
      </c>
      <c r="D832" s="280" t="s">
        <v>1152</v>
      </c>
      <c r="E832" s="280"/>
      <c r="F832" s="2" t="s">
        <v>333</v>
      </c>
      <c r="G832" s="37">
        <v>22.85</v>
      </c>
      <c r="H832" s="38">
        <v>0</v>
      </c>
    </row>
    <row r="833" spans="1:8" x14ac:dyDescent="0.25">
      <c r="A833" s="85"/>
      <c r="D833" s="96" t="s">
        <v>1461</v>
      </c>
      <c r="E833" s="388" t="s">
        <v>4</v>
      </c>
      <c r="F833" s="388"/>
      <c r="G833" s="97">
        <v>22.85</v>
      </c>
      <c r="H833" s="98"/>
    </row>
    <row r="834" spans="1:8" x14ac:dyDescent="0.25">
      <c r="A834" s="1" t="s">
        <v>1153</v>
      </c>
      <c r="B834" s="2" t="s">
        <v>89</v>
      </c>
      <c r="C834" s="2" t="s">
        <v>1154</v>
      </c>
      <c r="D834" s="280" t="s">
        <v>1155</v>
      </c>
      <c r="E834" s="280"/>
      <c r="F834" s="2" t="s">
        <v>249</v>
      </c>
      <c r="G834" s="37">
        <v>226.96170000000001</v>
      </c>
      <c r="H834" s="38">
        <v>0</v>
      </c>
    </row>
    <row r="835" spans="1:8" x14ac:dyDescent="0.25">
      <c r="A835" s="85"/>
      <c r="D835" s="96" t="s">
        <v>1640</v>
      </c>
      <c r="E835" s="388" t="s">
        <v>4</v>
      </c>
      <c r="F835" s="388"/>
      <c r="G835" s="97">
        <v>85.687349999999995</v>
      </c>
      <c r="H835" s="98"/>
    </row>
    <row r="836" spans="1:8" x14ac:dyDescent="0.25">
      <c r="A836" s="1" t="s">
        <v>4</v>
      </c>
      <c r="B836" s="2" t="s">
        <v>4</v>
      </c>
      <c r="C836" s="2" t="s">
        <v>4</v>
      </c>
      <c r="D836" s="96" t="s">
        <v>1641</v>
      </c>
      <c r="E836" s="388" t="s">
        <v>4</v>
      </c>
      <c r="F836" s="388"/>
      <c r="G836" s="97">
        <v>41.307000000000002</v>
      </c>
      <c r="H836" s="79" t="s">
        <v>4</v>
      </c>
    </row>
    <row r="837" spans="1:8" x14ac:dyDescent="0.25">
      <c r="A837" s="1" t="s">
        <v>4</v>
      </c>
      <c r="B837" s="2" t="s">
        <v>4</v>
      </c>
      <c r="C837" s="2" t="s">
        <v>4</v>
      </c>
      <c r="D837" s="96" t="s">
        <v>1642</v>
      </c>
      <c r="E837" s="388" t="s">
        <v>4</v>
      </c>
      <c r="F837" s="388"/>
      <c r="G837" s="97">
        <v>57.656799999999997</v>
      </c>
      <c r="H837" s="79" t="s">
        <v>4</v>
      </c>
    </row>
    <row r="838" spans="1:8" x14ac:dyDescent="0.25">
      <c r="A838" s="1" t="s">
        <v>4</v>
      </c>
      <c r="B838" s="2" t="s">
        <v>4</v>
      </c>
      <c r="C838" s="2" t="s">
        <v>4</v>
      </c>
      <c r="D838" s="96" t="s">
        <v>1643</v>
      </c>
      <c r="E838" s="388" t="s">
        <v>4</v>
      </c>
      <c r="F838" s="388"/>
      <c r="G838" s="97">
        <v>42.310549999999999</v>
      </c>
      <c r="H838" s="79" t="s">
        <v>4</v>
      </c>
    </row>
    <row r="839" spans="1:8" x14ac:dyDescent="0.25">
      <c r="A839" s="1" t="s">
        <v>1157</v>
      </c>
      <c r="B839" s="2" t="s">
        <v>89</v>
      </c>
      <c r="C839" s="2" t="s">
        <v>1158</v>
      </c>
      <c r="D839" s="280" t="s">
        <v>1159</v>
      </c>
      <c r="E839" s="280"/>
      <c r="F839" s="2" t="s">
        <v>249</v>
      </c>
      <c r="G839" s="37">
        <v>453.92340000000002</v>
      </c>
      <c r="H839" s="38">
        <v>0</v>
      </c>
    </row>
    <row r="840" spans="1:8" x14ac:dyDescent="0.25">
      <c r="A840" s="85"/>
      <c r="D840" s="96" t="s">
        <v>1644</v>
      </c>
      <c r="E840" s="388" t="s">
        <v>4</v>
      </c>
      <c r="F840" s="388"/>
      <c r="G840" s="97">
        <v>453.92340000000002</v>
      </c>
      <c r="H840" s="98"/>
    </row>
    <row r="841" spans="1:8" x14ac:dyDescent="0.25">
      <c r="A841" s="1" t="s">
        <v>1160</v>
      </c>
      <c r="B841" s="2" t="s">
        <v>89</v>
      </c>
      <c r="C841" s="2" t="s">
        <v>1161</v>
      </c>
      <c r="D841" s="280" t="s">
        <v>1162</v>
      </c>
      <c r="E841" s="280"/>
      <c r="F841" s="2" t="s">
        <v>249</v>
      </c>
      <c r="G841" s="37">
        <v>226.96170000000001</v>
      </c>
      <c r="H841" s="38">
        <v>0</v>
      </c>
    </row>
    <row r="842" spans="1:8" x14ac:dyDescent="0.25">
      <c r="A842" s="85"/>
      <c r="D842" s="96" t="s">
        <v>1645</v>
      </c>
      <c r="E842" s="388" t="s">
        <v>4</v>
      </c>
      <c r="F842" s="388"/>
      <c r="G842" s="97">
        <v>226.96170000000001</v>
      </c>
      <c r="H842" s="98"/>
    </row>
    <row r="843" spans="1:8" x14ac:dyDescent="0.25">
      <c r="A843" s="1" t="s">
        <v>1163</v>
      </c>
      <c r="B843" s="2" t="s">
        <v>89</v>
      </c>
      <c r="C843" s="2" t="s">
        <v>1164</v>
      </c>
      <c r="D843" s="280" t="s">
        <v>1165</v>
      </c>
      <c r="E843" s="280"/>
      <c r="F843" s="2" t="s">
        <v>1166</v>
      </c>
      <c r="G843" s="37">
        <v>30</v>
      </c>
      <c r="H843" s="38">
        <v>0</v>
      </c>
    </row>
    <row r="844" spans="1:8" x14ac:dyDescent="0.25">
      <c r="A844" s="85"/>
      <c r="D844" s="96" t="s">
        <v>316</v>
      </c>
      <c r="E844" s="388" t="s">
        <v>4</v>
      </c>
      <c r="F844" s="388"/>
      <c r="G844" s="97">
        <v>30</v>
      </c>
      <c r="H844" s="98"/>
    </row>
    <row r="845" spans="1:8" x14ac:dyDescent="0.25">
      <c r="A845" s="1" t="s">
        <v>1167</v>
      </c>
      <c r="B845" s="2" t="s">
        <v>89</v>
      </c>
      <c r="C845" s="2" t="s">
        <v>1168</v>
      </c>
      <c r="D845" s="280" t="s">
        <v>1169</v>
      </c>
      <c r="E845" s="280"/>
      <c r="F845" s="2" t="s">
        <v>249</v>
      </c>
      <c r="G845" s="37">
        <v>69.445999999999998</v>
      </c>
      <c r="H845" s="38">
        <v>0</v>
      </c>
    </row>
    <row r="846" spans="1:8" x14ac:dyDescent="0.25">
      <c r="A846" s="85"/>
      <c r="D846" s="96" t="s">
        <v>1646</v>
      </c>
      <c r="E846" s="388" t="s">
        <v>4</v>
      </c>
      <c r="F846" s="388"/>
      <c r="G846" s="97">
        <v>63.996000000000002</v>
      </c>
      <c r="H846" s="98"/>
    </row>
    <row r="847" spans="1:8" x14ac:dyDescent="0.25">
      <c r="A847" s="1" t="s">
        <v>4</v>
      </c>
      <c r="B847" s="2" t="s">
        <v>4</v>
      </c>
      <c r="C847" s="2" t="s">
        <v>4</v>
      </c>
      <c r="D847" s="96" t="s">
        <v>1624</v>
      </c>
      <c r="E847" s="388" t="s">
        <v>4</v>
      </c>
      <c r="F847" s="388"/>
      <c r="G847" s="97">
        <v>5.45</v>
      </c>
      <c r="H847" s="79" t="s">
        <v>4</v>
      </c>
    </row>
    <row r="848" spans="1:8" x14ac:dyDescent="0.25">
      <c r="A848" s="1" t="s">
        <v>1170</v>
      </c>
      <c r="B848" s="2" t="s">
        <v>89</v>
      </c>
      <c r="C848" s="2" t="s">
        <v>1171</v>
      </c>
      <c r="D848" s="280" t="s">
        <v>1172</v>
      </c>
      <c r="E848" s="280"/>
      <c r="F848" s="2" t="s">
        <v>333</v>
      </c>
      <c r="G848" s="37">
        <v>3.89</v>
      </c>
      <c r="H848" s="38">
        <v>0</v>
      </c>
    </row>
    <row r="849" spans="1:8" x14ac:dyDescent="0.25">
      <c r="A849" s="85"/>
      <c r="D849" s="96" t="s">
        <v>1647</v>
      </c>
      <c r="E849" s="388" t="s">
        <v>4</v>
      </c>
      <c r="F849" s="388"/>
      <c r="G849" s="97">
        <v>3.89</v>
      </c>
      <c r="H849" s="98"/>
    </row>
    <row r="850" spans="1:8" x14ac:dyDescent="0.25">
      <c r="A850" s="1" t="s">
        <v>1174</v>
      </c>
      <c r="B850" s="2" t="s">
        <v>89</v>
      </c>
      <c r="C850" s="2" t="s">
        <v>1175</v>
      </c>
      <c r="D850" s="280" t="s">
        <v>1176</v>
      </c>
      <c r="E850" s="280"/>
      <c r="F850" s="2" t="s">
        <v>249</v>
      </c>
      <c r="G850" s="37">
        <v>170.51</v>
      </c>
      <c r="H850" s="38">
        <v>0</v>
      </c>
    </row>
    <row r="851" spans="1:8" x14ac:dyDescent="0.25">
      <c r="A851" s="85"/>
      <c r="D851" s="96" t="s">
        <v>1648</v>
      </c>
      <c r="E851" s="388" t="s">
        <v>4</v>
      </c>
      <c r="F851" s="388"/>
      <c r="G851" s="97">
        <v>170.51</v>
      </c>
      <c r="H851" s="98"/>
    </row>
    <row r="852" spans="1:8" x14ac:dyDescent="0.25">
      <c r="A852" s="1" t="s">
        <v>1177</v>
      </c>
      <c r="B852" s="2" t="s">
        <v>89</v>
      </c>
      <c r="C852" s="2" t="s">
        <v>1178</v>
      </c>
      <c r="D852" s="280" t="s">
        <v>1179</v>
      </c>
      <c r="E852" s="280"/>
      <c r="F852" s="2" t="s">
        <v>329</v>
      </c>
      <c r="G852" s="37">
        <v>7</v>
      </c>
      <c r="H852" s="38">
        <v>0</v>
      </c>
    </row>
    <row r="853" spans="1:8" x14ac:dyDescent="0.25">
      <c r="A853" s="85"/>
      <c r="D853" s="96" t="s">
        <v>243</v>
      </c>
      <c r="E853" s="388" t="s">
        <v>4</v>
      </c>
      <c r="F853" s="388"/>
      <c r="G853" s="97">
        <v>7</v>
      </c>
      <c r="H853" s="98"/>
    </row>
    <row r="854" spans="1:8" x14ac:dyDescent="0.25">
      <c r="A854" s="1" t="s">
        <v>1180</v>
      </c>
      <c r="B854" s="2" t="s">
        <v>89</v>
      </c>
      <c r="C854" s="2" t="s">
        <v>1181</v>
      </c>
      <c r="D854" s="280" t="s">
        <v>1182</v>
      </c>
      <c r="E854" s="280"/>
      <c r="F854" s="2" t="s">
        <v>329</v>
      </c>
      <c r="G854" s="37">
        <v>6</v>
      </c>
      <c r="H854" s="38">
        <v>0</v>
      </c>
    </row>
    <row r="855" spans="1:8" x14ac:dyDescent="0.25">
      <c r="A855" s="85"/>
      <c r="D855" s="96" t="s">
        <v>240</v>
      </c>
      <c r="E855" s="388" t="s">
        <v>4</v>
      </c>
      <c r="F855" s="388"/>
      <c r="G855" s="97">
        <v>6</v>
      </c>
      <c r="H855" s="98"/>
    </row>
    <row r="856" spans="1:8" x14ac:dyDescent="0.25">
      <c r="A856" s="1" t="s">
        <v>1183</v>
      </c>
      <c r="B856" s="2" t="s">
        <v>89</v>
      </c>
      <c r="C856" s="2" t="s">
        <v>1184</v>
      </c>
      <c r="D856" s="280" t="s">
        <v>1185</v>
      </c>
      <c r="E856" s="280"/>
      <c r="F856" s="2" t="s">
        <v>329</v>
      </c>
      <c r="G856" s="37">
        <v>1</v>
      </c>
      <c r="H856" s="38">
        <v>0</v>
      </c>
    </row>
    <row r="857" spans="1:8" x14ac:dyDescent="0.25">
      <c r="A857" s="85"/>
      <c r="D857" s="96" t="s">
        <v>219</v>
      </c>
      <c r="E857" s="388" t="s">
        <v>4</v>
      </c>
      <c r="F857" s="388"/>
      <c r="G857" s="97">
        <v>1</v>
      </c>
      <c r="H857" s="98"/>
    </row>
    <row r="858" spans="1:8" x14ac:dyDescent="0.25">
      <c r="A858" s="1" t="s">
        <v>1186</v>
      </c>
      <c r="B858" s="2" t="s">
        <v>89</v>
      </c>
      <c r="C858" s="2" t="s">
        <v>520</v>
      </c>
      <c r="D858" s="280" t="s">
        <v>521</v>
      </c>
      <c r="E858" s="280"/>
      <c r="F858" s="2" t="s">
        <v>296</v>
      </c>
      <c r="G858" s="37">
        <v>27.298110000000001</v>
      </c>
      <c r="H858" s="38">
        <v>0</v>
      </c>
    </row>
    <row r="859" spans="1:8" x14ac:dyDescent="0.25">
      <c r="A859" s="1" t="s">
        <v>1187</v>
      </c>
      <c r="B859" s="2" t="s">
        <v>89</v>
      </c>
      <c r="C859" s="2" t="s">
        <v>1188</v>
      </c>
      <c r="D859" s="280" t="s">
        <v>1189</v>
      </c>
      <c r="E859" s="280"/>
      <c r="F859" s="2" t="s">
        <v>329</v>
      </c>
      <c r="G859" s="37">
        <v>19</v>
      </c>
      <c r="H859" s="38">
        <v>0</v>
      </c>
    </row>
    <row r="860" spans="1:8" x14ac:dyDescent="0.25">
      <c r="A860" s="85"/>
      <c r="D860" s="96" t="s">
        <v>1649</v>
      </c>
      <c r="E860" s="388" t="s">
        <v>1466</v>
      </c>
      <c r="F860" s="388"/>
      <c r="G860" s="97">
        <v>2</v>
      </c>
      <c r="H860" s="98"/>
    </row>
    <row r="861" spans="1:8" x14ac:dyDescent="0.25">
      <c r="A861" s="1" t="s">
        <v>4</v>
      </c>
      <c r="B861" s="2" t="s">
        <v>4</v>
      </c>
      <c r="C861" s="2" t="s">
        <v>4</v>
      </c>
      <c r="D861" s="96" t="s">
        <v>1650</v>
      </c>
      <c r="E861" s="388" t="s">
        <v>1651</v>
      </c>
      <c r="F861" s="388"/>
      <c r="G861" s="97">
        <v>17</v>
      </c>
      <c r="H861" s="79" t="s">
        <v>4</v>
      </c>
    </row>
    <row r="862" spans="1:8" x14ac:dyDescent="0.25">
      <c r="A862" s="1" t="s">
        <v>1191</v>
      </c>
      <c r="B862" s="2" t="s">
        <v>89</v>
      </c>
      <c r="C862" s="2" t="s">
        <v>1192</v>
      </c>
      <c r="D862" s="280" t="s">
        <v>1193</v>
      </c>
      <c r="E862" s="280"/>
      <c r="F862" s="2" t="s">
        <v>249</v>
      </c>
      <c r="G862" s="37">
        <v>0.73</v>
      </c>
      <c r="H862" s="38">
        <v>0</v>
      </c>
    </row>
    <row r="863" spans="1:8" x14ac:dyDescent="0.25">
      <c r="A863" s="85"/>
      <c r="D863" s="96" t="s">
        <v>1652</v>
      </c>
      <c r="E863" s="388" t="s">
        <v>1466</v>
      </c>
      <c r="F863" s="388"/>
      <c r="G863" s="97">
        <v>0.73</v>
      </c>
      <c r="H863" s="98"/>
    </row>
    <row r="864" spans="1:8" x14ac:dyDescent="0.25">
      <c r="A864" s="1" t="s">
        <v>1194</v>
      </c>
      <c r="B864" s="2" t="s">
        <v>89</v>
      </c>
      <c r="C864" s="2" t="s">
        <v>1195</v>
      </c>
      <c r="D864" s="280" t="s">
        <v>1196</v>
      </c>
      <c r="E864" s="280"/>
      <c r="F864" s="2" t="s">
        <v>249</v>
      </c>
      <c r="G864" s="37">
        <v>1.0980000000000001</v>
      </c>
      <c r="H864" s="38">
        <v>0</v>
      </c>
    </row>
    <row r="865" spans="1:8" x14ac:dyDescent="0.25">
      <c r="A865" s="85"/>
      <c r="D865" s="96" t="s">
        <v>1653</v>
      </c>
      <c r="E865" s="388" t="s">
        <v>1651</v>
      </c>
      <c r="F865" s="388"/>
      <c r="G865" s="97">
        <v>1.0980000000000001</v>
      </c>
      <c r="H865" s="98"/>
    </row>
    <row r="866" spans="1:8" x14ac:dyDescent="0.25">
      <c r="A866" s="1" t="s">
        <v>1197</v>
      </c>
      <c r="B866" s="2" t="s">
        <v>89</v>
      </c>
      <c r="C866" s="2" t="s">
        <v>1198</v>
      </c>
      <c r="D866" s="280" t="s">
        <v>1199</v>
      </c>
      <c r="E866" s="280"/>
      <c r="F866" s="2" t="s">
        <v>249</v>
      </c>
      <c r="G866" s="37">
        <v>28.567499999999999</v>
      </c>
      <c r="H866" s="38">
        <v>0</v>
      </c>
    </row>
    <row r="867" spans="1:8" x14ac:dyDescent="0.25">
      <c r="A867" s="85"/>
      <c r="D867" s="96" t="s">
        <v>1654</v>
      </c>
      <c r="E867" s="388" t="s">
        <v>1651</v>
      </c>
      <c r="F867" s="388"/>
      <c r="G867" s="97">
        <v>28.567499999999999</v>
      </c>
      <c r="H867" s="98"/>
    </row>
    <row r="868" spans="1:8" x14ac:dyDescent="0.25">
      <c r="A868" s="1" t="s">
        <v>1200</v>
      </c>
      <c r="B868" s="2" t="s">
        <v>89</v>
      </c>
      <c r="C868" s="2" t="s">
        <v>1201</v>
      </c>
      <c r="D868" s="280" t="s">
        <v>1202</v>
      </c>
      <c r="E868" s="280"/>
      <c r="F868" s="2" t="s">
        <v>329</v>
      </c>
      <c r="G868" s="37">
        <v>17</v>
      </c>
      <c r="H868" s="38">
        <v>0</v>
      </c>
    </row>
    <row r="869" spans="1:8" x14ac:dyDescent="0.25">
      <c r="A869" s="85"/>
      <c r="D869" s="96" t="s">
        <v>1655</v>
      </c>
      <c r="E869" s="388" t="s">
        <v>1466</v>
      </c>
      <c r="F869" s="388"/>
      <c r="G869" s="97">
        <v>4</v>
      </c>
      <c r="H869" s="98"/>
    </row>
    <row r="870" spans="1:8" x14ac:dyDescent="0.25">
      <c r="A870" s="1" t="s">
        <v>4</v>
      </c>
      <c r="B870" s="2" t="s">
        <v>4</v>
      </c>
      <c r="C870" s="2" t="s">
        <v>4</v>
      </c>
      <c r="D870" s="96" t="s">
        <v>1656</v>
      </c>
      <c r="E870" s="388" t="s">
        <v>1651</v>
      </c>
      <c r="F870" s="388"/>
      <c r="G870" s="97">
        <v>13</v>
      </c>
      <c r="H870" s="79" t="s">
        <v>4</v>
      </c>
    </row>
    <row r="871" spans="1:8" x14ac:dyDescent="0.25">
      <c r="A871" s="1" t="s">
        <v>1203</v>
      </c>
      <c r="B871" s="2" t="s">
        <v>89</v>
      </c>
      <c r="C871" s="2" t="s">
        <v>1204</v>
      </c>
      <c r="D871" s="280" t="s">
        <v>1205</v>
      </c>
      <c r="E871" s="280"/>
      <c r="F871" s="2" t="s">
        <v>329</v>
      </c>
      <c r="G871" s="37">
        <v>1</v>
      </c>
      <c r="H871" s="38">
        <v>0</v>
      </c>
    </row>
    <row r="872" spans="1:8" x14ac:dyDescent="0.25">
      <c r="A872" s="85"/>
      <c r="D872" s="96" t="s">
        <v>219</v>
      </c>
      <c r="E872" s="388" t="s">
        <v>1651</v>
      </c>
      <c r="F872" s="388"/>
      <c r="G872" s="97">
        <v>1</v>
      </c>
      <c r="H872" s="98"/>
    </row>
    <row r="873" spans="1:8" x14ac:dyDescent="0.25">
      <c r="A873" s="1" t="s">
        <v>1206</v>
      </c>
      <c r="B873" s="2" t="s">
        <v>89</v>
      </c>
      <c r="C873" s="2" t="s">
        <v>1207</v>
      </c>
      <c r="D873" s="280" t="s">
        <v>1208</v>
      </c>
      <c r="E873" s="280"/>
      <c r="F873" s="2" t="s">
        <v>249</v>
      </c>
      <c r="G873" s="37">
        <v>26.422000000000001</v>
      </c>
      <c r="H873" s="38">
        <v>0</v>
      </c>
    </row>
    <row r="874" spans="1:8" x14ac:dyDescent="0.25">
      <c r="A874" s="85"/>
      <c r="D874" s="96" t="s">
        <v>1657</v>
      </c>
      <c r="E874" s="388" t="s">
        <v>1466</v>
      </c>
      <c r="F874" s="388"/>
      <c r="G874" s="97">
        <v>6.3040000000000003</v>
      </c>
      <c r="H874" s="98"/>
    </row>
    <row r="875" spans="1:8" x14ac:dyDescent="0.25">
      <c r="A875" s="1" t="s">
        <v>4</v>
      </c>
      <c r="B875" s="2" t="s">
        <v>4</v>
      </c>
      <c r="C875" s="2" t="s">
        <v>4</v>
      </c>
      <c r="D875" s="96" t="s">
        <v>1658</v>
      </c>
      <c r="E875" s="388" t="s">
        <v>1651</v>
      </c>
      <c r="F875" s="388"/>
      <c r="G875" s="97">
        <v>20.117999999999999</v>
      </c>
      <c r="H875" s="79" t="s">
        <v>4</v>
      </c>
    </row>
    <row r="876" spans="1:8" x14ac:dyDescent="0.25">
      <c r="A876" s="1" t="s">
        <v>1209</v>
      </c>
      <c r="B876" s="2" t="s">
        <v>89</v>
      </c>
      <c r="C876" s="2" t="s">
        <v>1210</v>
      </c>
      <c r="D876" s="280" t="s">
        <v>1211</v>
      </c>
      <c r="E876" s="280"/>
      <c r="F876" s="2" t="s">
        <v>249</v>
      </c>
      <c r="G876" s="37">
        <v>154.94</v>
      </c>
      <c r="H876" s="38">
        <v>0</v>
      </c>
    </row>
    <row r="877" spans="1:8" x14ac:dyDescent="0.25">
      <c r="A877" s="85"/>
      <c r="D877" s="96" t="s">
        <v>1504</v>
      </c>
      <c r="E877" s="388" t="s">
        <v>4</v>
      </c>
      <c r="F877" s="388"/>
      <c r="G877" s="97">
        <v>38.75</v>
      </c>
      <c r="H877" s="98"/>
    </row>
    <row r="878" spans="1:8" x14ac:dyDescent="0.25">
      <c r="A878" s="1" t="s">
        <v>4</v>
      </c>
      <c r="B878" s="2" t="s">
        <v>4</v>
      </c>
      <c r="C878" s="2" t="s">
        <v>4</v>
      </c>
      <c r="D878" s="96" t="s">
        <v>125</v>
      </c>
      <c r="E878" s="388" t="s">
        <v>4</v>
      </c>
      <c r="F878" s="388"/>
      <c r="G878" s="97">
        <v>63</v>
      </c>
      <c r="H878" s="79" t="s">
        <v>4</v>
      </c>
    </row>
    <row r="879" spans="1:8" x14ac:dyDescent="0.25">
      <c r="A879" s="1" t="s">
        <v>4</v>
      </c>
      <c r="B879" s="2" t="s">
        <v>4</v>
      </c>
      <c r="C879" s="2" t="s">
        <v>4</v>
      </c>
      <c r="D879" s="96" t="s">
        <v>1506</v>
      </c>
      <c r="E879" s="388" t="s">
        <v>4</v>
      </c>
      <c r="F879" s="388"/>
      <c r="G879" s="97">
        <v>33.9</v>
      </c>
      <c r="H879" s="79" t="s">
        <v>4</v>
      </c>
    </row>
    <row r="880" spans="1:8" x14ac:dyDescent="0.25">
      <c r="A880" s="1" t="s">
        <v>4</v>
      </c>
      <c r="B880" s="2" t="s">
        <v>4</v>
      </c>
      <c r="C880" s="2" t="s">
        <v>4</v>
      </c>
      <c r="D880" s="96" t="s">
        <v>1530</v>
      </c>
      <c r="E880" s="388" t="s">
        <v>4</v>
      </c>
      <c r="F880" s="388"/>
      <c r="G880" s="97">
        <v>3.04</v>
      </c>
      <c r="H880" s="79" t="s">
        <v>4</v>
      </c>
    </row>
    <row r="881" spans="1:8" x14ac:dyDescent="0.25">
      <c r="A881" s="1" t="s">
        <v>4</v>
      </c>
      <c r="B881" s="2" t="s">
        <v>4</v>
      </c>
      <c r="C881" s="2" t="s">
        <v>4</v>
      </c>
      <c r="D881" s="96" t="s">
        <v>1531</v>
      </c>
      <c r="E881" s="388" t="s">
        <v>4</v>
      </c>
      <c r="F881" s="388"/>
      <c r="G881" s="97">
        <v>16.25</v>
      </c>
      <c r="H881" s="79" t="s">
        <v>4</v>
      </c>
    </row>
    <row r="882" spans="1:8" x14ac:dyDescent="0.25">
      <c r="A882" s="1" t="s">
        <v>1212</v>
      </c>
      <c r="B882" s="2" t="s">
        <v>89</v>
      </c>
      <c r="C882" s="2" t="s">
        <v>1213</v>
      </c>
      <c r="D882" s="280" t="s">
        <v>1214</v>
      </c>
      <c r="E882" s="280"/>
      <c r="F882" s="2" t="s">
        <v>249</v>
      </c>
      <c r="G882" s="37">
        <v>66.040000000000006</v>
      </c>
      <c r="H882" s="38">
        <v>0</v>
      </c>
    </row>
    <row r="883" spans="1:8" x14ac:dyDescent="0.25">
      <c r="A883" s="85"/>
      <c r="D883" s="96" t="s">
        <v>125</v>
      </c>
      <c r="E883" s="388" t="s">
        <v>4</v>
      </c>
      <c r="F883" s="388"/>
      <c r="G883" s="97">
        <v>63</v>
      </c>
      <c r="H883" s="98"/>
    </row>
    <row r="884" spans="1:8" x14ac:dyDescent="0.25">
      <c r="A884" s="1" t="s">
        <v>4</v>
      </c>
      <c r="B884" s="2" t="s">
        <v>4</v>
      </c>
      <c r="C884" s="2" t="s">
        <v>4</v>
      </c>
      <c r="D884" s="96" t="s">
        <v>1530</v>
      </c>
      <c r="E884" s="388" t="s">
        <v>4</v>
      </c>
      <c r="F884" s="388"/>
      <c r="G884" s="97">
        <v>3.04</v>
      </c>
      <c r="H884" s="79" t="s">
        <v>4</v>
      </c>
    </row>
    <row r="885" spans="1:8" x14ac:dyDescent="0.25">
      <c r="A885" s="1" t="s">
        <v>1215</v>
      </c>
      <c r="B885" s="2" t="s">
        <v>89</v>
      </c>
      <c r="C885" s="2" t="s">
        <v>1216</v>
      </c>
      <c r="D885" s="280" t="s">
        <v>1217</v>
      </c>
      <c r="E885" s="280"/>
      <c r="F885" s="2" t="s">
        <v>296</v>
      </c>
      <c r="G885" s="37">
        <v>9.1893200000000004</v>
      </c>
      <c r="H885" s="38">
        <v>0</v>
      </c>
    </row>
    <row r="886" spans="1:8" x14ac:dyDescent="0.25">
      <c r="A886" s="1" t="s">
        <v>1218</v>
      </c>
      <c r="B886" s="2" t="s">
        <v>89</v>
      </c>
      <c r="C886" s="2" t="s">
        <v>1219</v>
      </c>
      <c r="D886" s="280" t="s">
        <v>1220</v>
      </c>
      <c r="E886" s="280"/>
      <c r="F886" s="2" t="s">
        <v>249</v>
      </c>
      <c r="G886" s="37">
        <v>4.4000000000000004</v>
      </c>
      <c r="H886" s="38">
        <v>0</v>
      </c>
    </row>
    <row r="887" spans="1:8" x14ac:dyDescent="0.25">
      <c r="A887" s="85"/>
      <c r="D887" s="96" t="s">
        <v>1659</v>
      </c>
      <c r="E887" s="388" t="s">
        <v>4</v>
      </c>
      <c r="F887" s="388"/>
      <c r="G887" s="97">
        <v>4.4000000000000004</v>
      </c>
      <c r="H887" s="98"/>
    </row>
    <row r="888" spans="1:8" x14ac:dyDescent="0.25">
      <c r="A888" s="1" t="s">
        <v>1221</v>
      </c>
      <c r="B888" s="2" t="s">
        <v>89</v>
      </c>
      <c r="C888" s="2" t="s">
        <v>1222</v>
      </c>
      <c r="D888" s="280" t="s">
        <v>1223</v>
      </c>
      <c r="E888" s="280"/>
      <c r="F888" s="2" t="s">
        <v>333</v>
      </c>
      <c r="G888" s="37">
        <v>12.8</v>
      </c>
      <c r="H888" s="38">
        <v>0</v>
      </c>
    </row>
    <row r="889" spans="1:8" x14ac:dyDescent="0.25">
      <c r="A889" s="85"/>
      <c r="D889" s="96" t="s">
        <v>1660</v>
      </c>
      <c r="E889" s="388" t="s">
        <v>4</v>
      </c>
      <c r="F889" s="388"/>
      <c r="G889" s="97">
        <v>9.1999999999999993</v>
      </c>
      <c r="H889" s="98"/>
    </row>
    <row r="890" spans="1:8" x14ac:dyDescent="0.25">
      <c r="A890" s="1" t="s">
        <v>4</v>
      </c>
      <c r="B890" s="2" t="s">
        <v>4</v>
      </c>
      <c r="C890" s="2" t="s">
        <v>4</v>
      </c>
      <c r="D890" s="96" t="s">
        <v>1661</v>
      </c>
      <c r="E890" s="388" t="s">
        <v>4</v>
      </c>
      <c r="F890" s="388"/>
      <c r="G890" s="97">
        <v>3.6</v>
      </c>
      <c r="H890" s="79" t="s">
        <v>4</v>
      </c>
    </row>
    <row r="891" spans="1:8" x14ac:dyDescent="0.25">
      <c r="A891" s="1" t="s">
        <v>1224</v>
      </c>
      <c r="B891" s="2" t="s">
        <v>89</v>
      </c>
      <c r="C891" s="2" t="s">
        <v>1225</v>
      </c>
      <c r="D891" s="280" t="s">
        <v>1226</v>
      </c>
      <c r="E891" s="280"/>
      <c r="F891" s="2" t="s">
        <v>222</v>
      </c>
      <c r="G891" s="37">
        <v>11.619</v>
      </c>
      <c r="H891" s="38">
        <v>0</v>
      </c>
    </row>
    <row r="892" spans="1:8" x14ac:dyDescent="0.25">
      <c r="A892" s="85"/>
      <c r="D892" s="96" t="s">
        <v>1662</v>
      </c>
      <c r="E892" s="388" t="s">
        <v>4</v>
      </c>
      <c r="F892" s="388"/>
      <c r="G892" s="97">
        <v>6.3</v>
      </c>
      <c r="H892" s="98"/>
    </row>
    <row r="893" spans="1:8" x14ac:dyDescent="0.25">
      <c r="A893" s="1" t="s">
        <v>4</v>
      </c>
      <c r="B893" s="2" t="s">
        <v>4</v>
      </c>
      <c r="C893" s="2" t="s">
        <v>4</v>
      </c>
      <c r="D893" s="96" t="s">
        <v>1663</v>
      </c>
      <c r="E893" s="388" t="s">
        <v>4</v>
      </c>
      <c r="F893" s="388"/>
      <c r="G893" s="97">
        <v>3.39</v>
      </c>
      <c r="H893" s="79" t="s">
        <v>4</v>
      </c>
    </row>
    <row r="894" spans="1:8" x14ac:dyDescent="0.25">
      <c r="A894" s="1" t="s">
        <v>4</v>
      </c>
      <c r="B894" s="2" t="s">
        <v>4</v>
      </c>
      <c r="C894" s="2" t="s">
        <v>4</v>
      </c>
      <c r="D894" s="96" t="s">
        <v>1388</v>
      </c>
      <c r="E894" s="388" t="s">
        <v>4</v>
      </c>
      <c r="F894" s="388"/>
      <c r="G894" s="97">
        <v>0.30399999999999999</v>
      </c>
      <c r="H894" s="79" t="s">
        <v>4</v>
      </c>
    </row>
    <row r="895" spans="1:8" x14ac:dyDescent="0.25">
      <c r="A895" s="1" t="s">
        <v>4</v>
      </c>
      <c r="B895" s="2" t="s">
        <v>4</v>
      </c>
      <c r="C895" s="2" t="s">
        <v>4</v>
      </c>
      <c r="D895" s="96" t="s">
        <v>1390</v>
      </c>
      <c r="E895" s="388" t="s">
        <v>4</v>
      </c>
      <c r="F895" s="388"/>
      <c r="G895" s="97">
        <v>1.625</v>
      </c>
      <c r="H895" s="79" t="s">
        <v>4</v>
      </c>
    </row>
    <row r="896" spans="1:8" x14ac:dyDescent="0.25">
      <c r="A896" s="1" t="s">
        <v>1227</v>
      </c>
      <c r="B896" s="2" t="s">
        <v>89</v>
      </c>
      <c r="C896" s="2" t="s">
        <v>1228</v>
      </c>
      <c r="D896" s="280" t="s">
        <v>1229</v>
      </c>
      <c r="E896" s="280"/>
      <c r="F896" s="2" t="s">
        <v>333</v>
      </c>
      <c r="G896" s="37">
        <v>0.9</v>
      </c>
      <c r="H896" s="38">
        <v>0</v>
      </c>
    </row>
    <row r="897" spans="1:8" x14ac:dyDescent="0.25">
      <c r="A897" s="85"/>
      <c r="D897" s="96" t="s">
        <v>1664</v>
      </c>
      <c r="E897" s="388" t="s">
        <v>1665</v>
      </c>
      <c r="F897" s="388"/>
      <c r="G897" s="97">
        <v>0.9</v>
      </c>
      <c r="H897" s="98"/>
    </row>
    <row r="898" spans="1:8" x14ac:dyDescent="0.25">
      <c r="A898" s="1" t="s">
        <v>1230</v>
      </c>
      <c r="B898" s="2" t="s">
        <v>89</v>
      </c>
      <c r="C898" s="2" t="s">
        <v>1231</v>
      </c>
      <c r="D898" s="280" t="s">
        <v>1232</v>
      </c>
      <c r="E898" s="280"/>
      <c r="F898" s="2" t="s">
        <v>329</v>
      </c>
      <c r="G898" s="37">
        <v>2</v>
      </c>
      <c r="H898" s="38">
        <v>0</v>
      </c>
    </row>
    <row r="899" spans="1:8" x14ac:dyDescent="0.25">
      <c r="A899" s="85"/>
      <c r="D899" s="96" t="s">
        <v>227</v>
      </c>
      <c r="E899" s="388" t="s">
        <v>1666</v>
      </c>
      <c r="F899" s="388"/>
      <c r="G899" s="97">
        <v>2</v>
      </c>
      <c r="H899" s="98"/>
    </row>
    <row r="900" spans="1:8" x14ac:dyDescent="0.25">
      <c r="A900" s="1" t="s">
        <v>1233</v>
      </c>
      <c r="B900" s="2" t="s">
        <v>89</v>
      </c>
      <c r="C900" s="2" t="s">
        <v>1234</v>
      </c>
      <c r="D900" s="280" t="s">
        <v>1235</v>
      </c>
      <c r="E900" s="280"/>
      <c r="F900" s="2" t="s">
        <v>296</v>
      </c>
      <c r="G900" s="37">
        <v>27.734680000000001</v>
      </c>
      <c r="H900" s="38">
        <v>0</v>
      </c>
    </row>
    <row r="901" spans="1:8" x14ac:dyDescent="0.25">
      <c r="A901" s="85"/>
      <c r="D901" s="96" t="s">
        <v>1667</v>
      </c>
      <c r="E901" s="388" t="s">
        <v>4</v>
      </c>
      <c r="F901" s="388"/>
      <c r="G901" s="97">
        <v>27.734680000000001</v>
      </c>
      <c r="H901" s="98"/>
    </row>
    <row r="902" spans="1:8" x14ac:dyDescent="0.25">
      <c r="A902" s="1" t="s">
        <v>1236</v>
      </c>
      <c r="B902" s="2" t="s">
        <v>89</v>
      </c>
      <c r="C902" s="2" t="s">
        <v>1237</v>
      </c>
      <c r="D902" s="280" t="s">
        <v>1238</v>
      </c>
      <c r="E902" s="280"/>
      <c r="F902" s="2" t="s">
        <v>249</v>
      </c>
      <c r="G902" s="37">
        <v>4.2107999999999999</v>
      </c>
      <c r="H902" s="38">
        <v>0</v>
      </c>
    </row>
    <row r="903" spans="1:8" x14ac:dyDescent="0.25">
      <c r="A903" s="85"/>
      <c r="D903" s="96" t="s">
        <v>1668</v>
      </c>
      <c r="E903" s="388" t="s">
        <v>4</v>
      </c>
      <c r="F903" s="388"/>
      <c r="G903" s="97">
        <v>4.2107999999999999</v>
      </c>
      <c r="H903" s="98"/>
    </row>
    <row r="904" spans="1:8" x14ac:dyDescent="0.25">
      <c r="A904" s="1" t="s">
        <v>1239</v>
      </c>
      <c r="B904" s="2" t="s">
        <v>89</v>
      </c>
      <c r="C904" s="2" t="s">
        <v>1240</v>
      </c>
      <c r="D904" s="280" t="s">
        <v>1241</v>
      </c>
      <c r="E904" s="280"/>
      <c r="F904" s="2" t="s">
        <v>249</v>
      </c>
      <c r="G904" s="37">
        <v>72.603099999999998</v>
      </c>
      <c r="H904" s="38">
        <v>0</v>
      </c>
    </row>
    <row r="905" spans="1:8" x14ac:dyDescent="0.25">
      <c r="A905" s="85"/>
      <c r="D905" s="96" t="s">
        <v>1669</v>
      </c>
      <c r="E905" s="388" t="s">
        <v>4</v>
      </c>
      <c r="F905" s="388"/>
      <c r="G905" s="97">
        <v>8.9755000000000003</v>
      </c>
      <c r="H905" s="98"/>
    </row>
    <row r="906" spans="1:8" x14ac:dyDescent="0.25">
      <c r="A906" s="1" t="s">
        <v>4</v>
      </c>
      <c r="B906" s="2" t="s">
        <v>4</v>
      </c>
      <c r="C906" s="2" t="s">
        <v>4</v>
      </c>
      <c r="D906" s="96" t="s">
        <v>1670</v>
      </c>
      <c r="E906" s="388" t="s">
        <v>4</v>
      </c>
      <c r="F906" s="388"/>
      <c r="G906" s="97">
        <v>63.627600000000001</v>
      </c>
      <c r="H906" s="79" t="s">
        <v>4</v>
      </c>
    </row>
    <row r="907" spans="1:8" x14ac:dyDescent="0.25">
      <c r="A907" s="1" t="s">
        <v>1242</v>
      </c>
      <c r="B907" s="2" t="s">
        <v>89</v>
      </c>
      <c r="C907" s="2" t="s">
        <v>1243</v>
      </c>
      <c r="D907" s="280" t="s">
        <v>1244</v>
      </c>
      <c r="E907" s="280"/>
      <c r="F907" s="2" t="s">
        <v>222</v>
      </c>
      <c r="G907" s="37">
        <v>6.5132500000000002</v>
      </c>
      <c r="H907" s="38">
        <v>0</v>
      </c>
    </row>
    <row r="908" spans="1:8" x14ac:dyDescent="0.25">
      <c r="A908" s="85"/>
      <c r="D908" s="96" t="s">
        <v>1671</v>
      </c>
      <c r="E908" s="388" t="s">
        <v>4</v>
      </c>
      <c r="F908" s="388"/>
      <c r="G908" s="97">
        <v>5.8715999999999999</v>
      </c>
      <c r="H908" s="98"/>
    </row>
    <row r="909" spans="1:8" x14ac:dyDescent="0.25">
      <c r="A909" s="1" t="s">
        <v>4</v>
      </c>
      <c r="B909" s="2" t="s">
        <v>4</v>
      </c>
      <c r="C909" s="2" t="s">
        <v>4</v>
      </c>
      <c r="D909" s="96" t="s">
        <v>1672</v>
      </c>
      <c r="E909" s="388" t="s">
        <v>4</v>
      </c>
      <c r="F909" s="388"/>
      <c r="G909" s="97">
        <v>0.64165000000000005</v>
      </c>
      <c r="H909" s="79" t="s">
        <v>4</v>
      </c>
    </row>
    <row r="910" spans="1:8" x14ac:dyDescent="0.25">
      <c r="A910" s="1" t="s">
        <v>1245</v>
      </c>
      <c r="B910" s="2" t="s">
        <v>89</v>
      </c>
      <c r="C910" s="2" t="s">
        <v>1246</v>
      </c>
      <c r="D910" s="280" t="s">
        <v>1247</v>
      </c>
      <c r="E910" s="280"/>
      <c r="F910" s="2" t="s">
        <v>333</v>
      </c>
      <c r="G910" s="37">
        <v>7.2</v>
      </c>
      <c r="H910" s="38">
        <v>0</v>
      </c>
    </row>
    <row r="911" spans="1:8" x14ac:dyDescent="0.25">
      <c r="A911" s="85"/>
      <c r="D911" s="96" t="s">
        <v>1673</v>
      </c>
      <c r="E911" s="388" t="s">
        <v>1666</v>
      </c>
      <c r="F911" s="388"/>
      <c r="G911" s="97">
        <v>7.2</v>
      </c>
      <c r="H911" s="98"/>
    </row>
    <row r="912" spans="1:8" x14ac:dyDescent="0.25">
      <c r="A912" s="1" t="s">
        <v>1248</v>
      </c>
      <c r="B912" s="2" t="s">
        <v>89</v>
      </c>
      <c r="C912" s="2" t="s">
        <v>1249</v>
      </c>
      <c r="D912" s="280" t="s">
        <v>1250</v>
      </c>
      <c r="E912" s="280"/>
      <c r="F912" s="2" t="s">
        <v>296</v>
      </c>
      <c r="G912" s="37">
        <v>35.851930000000003</v>
      </c>
      <c r="H912" s="38">
        <v>0</v>
      </c>
    </row>
    <row r="913" spans="1:8" x14ac:dyDescent="0.25">
      <c r="A913" s="85"/>
      <c r="D913" s="96" t="s">
        <v>1674</v>
      </c>
      <c r="E913" s="388" t="s">
        <v>4</v>
      </c>
      <c r="F913" s="388"/>
      <c r="G913" s="97">
        <v>35.851930000000003</v>
      </c>
      <c r="H913" s="98"/>
    </row>
    <row r="914" spans="1:8" x14ac:dyDescent="0.25">
      <c r="A914" s="1" t="s">
        <v>1251</v>
      </c>
      <c r="B914" s="2" t="s">
        <v>89</v>
      </c>
      <c r="C914" s="2" t="s">
        <v>1252</v>
      </c>
      <c r="D914" s="280" t="s">
        <v>1253</v>
      </c>
      <c r="E914" s="280"/>
      <c r="F914" s="2" t="s">
        <v>249</v>
      </c>
      <c r="G914" s="37">
        <v>25.25</v>
      </c>
      <c r="H914" s="38">
        <v>0</v>
      </c>
    </row>
    <row r="915" spans="1:8" x14ac:dyDescent="0.25">
      <c r="A915" s="85"/>
      <c r="D915" s="96" t="s">
        <v>1531</v>
      </c>
      <c r="E915" s="388" t="s">
        <v>4</v>
      </c>
      <c r="F915" s="388"/>
      <c r="G915" s="97">
        <v>16.25</v>
      </c>
      <c r="H915" s="98"/>
    </row>
    <row r="916" spans="1:8" x14ac:dyDescent="0.25">
      <c r="A916" s="1" t="s">
        <v>4</v>
      </c>
      <c r="B916" s="2" t="s">
        <v>4</v>
      </c>
      <c r="C916" s="2" t="s">
        <v>4</v>
      </c>
      <c r="D916" s="96" t="s">
        <v>1675</v>
      </c>
      <c r="E916" s="388" t="s">
        <v>1347</v>
      </c>
      <c r="F916" s="388"/>
      <c r="G916" s="97">
        <v>9</v>
      </c>
      <c r="H916" s="79" t="s">
        <v>4</v>
      </c>
    </row>
    <row r="917" spans="1:8" x14ac:dyDescent="0.25">
      <c r="A917" s="1" t="s">
        <v>1254</v>
      </c>
      <c r="B917" s="2" t="s">
        <v>89</v>
      </c>
      <c r="C917" s="2" t="s">
        <v>1255</v>
      </c>
      <c r="D917" s="280" t="s">
        <v>1256</v>
      </c>
      <c r="E917" s="280"/>
      <c r="F917" s="2" t="s">
        <v>296</v>
      </c>
      <c r="G917" s="37">
        <v>0.505</v>
      </c>
      <c r="H917" s="38">
        <v>0</v>
      </c>
    </row>
    <row r="918" spans="1:8" x14ac:dyDescent="0.25">
      <c r="A918" s="1" t="s">
        <v>1257</v>
      </c>
      <c r="B918" s="2" t="s">
        <v>89</v>
      </c>
      <c r="C918" s="2" t="s">
        <v>1258</v>
      </c>
      <c r="D918" s="280" t="s">
        <v>1259</v>
      </c>
      <c r="E918" s="280"/>
      <c r="F918" s="2" t="s">
        <v>333</v>
      </c>
      <c r="G918" s="37">
        <v>5.8</v>
      </c>
      <c r="H918" s="38">
        <v>0</v>
      </c>
    </row>
    <row r="919" spans="1:8" x14ac:dyDescent="0.25">
      <c r="A919" s="85"/>
      <c r="D919" s="96" t="s">
        <v>1577</v>
      </c>
      <c r="E919" s="388" t="s">
        <v>4</v>
      </c>
      <c r="F919" s="388"/>
      <c r="G919" s="97">
        <v>5.8</v>
      </c>
      <c r="H919" s="98"/>
    </row>
    <row r="920" spans="1:8" x14ac:dyDescent="0.25">
      <c r="A920" s="1" t="s">
        <v>1260</v>
      </c>
      <c r="B920" s="2" t="s">
        <v>89</v>
      </c>
      <c r="C920" s="2" t="s">
        <v>1261</v>
      </c>
      <c r="D920" s="280" t="s">
        <v>1262</v>
      </c>
      <c r="E920" s="280"/>
      <c r="F920" s="2" t="s">
        <v>333</v>
      </c>
      <c r="G920" s="37">
        <v>12.2</v>
      </c>
      <c r="H920" s="38">
        <v>0</v>
      </c>
    </row>
    <row r="921" spans="1:8" x14ac:dyDescent="0.25">
      <c r="A921" s="85"/>
      <c r="D921" s="96" t="s">
        <v>1576</v>
      </c>
      <c r="E921" s="388" t="s">
        <v>4</v>
      </c>
      <c r="F921" s="388"/>
      <c r="G921" s="97">
        <v>12.2</v>
      </c>
      <c r="H921" s="98"/>
    </row>
    <row r="922" spans="1:8" x14ac:dyDescent="0.25">
      <c r="A922" s="1" t="s">
        <v>1263</v>
      </c>
      <c r="B922" s="2" t="s">
        <v>89</v>
      </c>
      <c r="C922" s="2" t="s">
        <v>1264</v>
      </c>
      <c r="D922" s="280" t="s">
        <v>1265</v>
      </c>
      <c r="E922" s="280"/>
      <c r="F922" s="2" t="s">
        <v>333</v>
      </c>
      <c r="G922" s="37">
        <v>17</v>
      </c>
      <c r="H922" s="38">
        <v>0</v>
      </c>
    </row>
    <row r="923" spans="1:8" x14ac:dyDescent="0.25">
      <c r="A923" s="85"/>
      <c r="D923" s="96" t="s">
        <v>97</v>
      </c>
      <c r="E923" s="388" t="s">
        <v>4</v>
      </c>
      <c r="F923" s="388"/>
      <c r="G923" s="97">
        <v>17</v>
      </c>
      <c r="H923" s="98"/>
    </row>
    <row r="924" spans="1:8" x14ac:dyDescent="0.25">
      <c r="A924" s="1" t="s">
        <v>1266</v>
      </c>
      <c r="B924" s="2" t="s">
        <v>89</v>
      </c>
      <c r="C924" s="2" t="s">
        <v>1267</v>
      </c>
      <c r="D924" s="280" t="s">
        <v>1268</v>
      </c>
      <c r="E924" s="280"/>
      <c r="F924" s="2" t="s">
        <v>329</v>
      </c>
      <c r="G924" s="37">
        <v>18</v>
      </c>
      <c r="H924" s="38">
        <v>0</v>
      </c>
    </row>
    <row r="925" spans="1:8" x14ac:dyDescent="0.25">
      <c r="A925" s="85"/>
      <c r="D925" s="96" t="s">
        <v>99</v>
      </c>
      <c r="E925" s="388" t="s">
        <v>4</v>
      </c>
      <c r="F925" s="388"/>
      <c r="G925" s="97">
        <v>18</v>
      </c>
      <c r="H925" s="98"/>
    </row>
    <row r="926" spans="1:8" x14ac:dyDescent="0.25">
      <c r="A926" s="1" t="s">
        <v>1269</v>
      </c>
      <c r="B926" s="2" t="s">
        <v>89</v>
      </c>
      <c r="C926" s="2" t="s">
        <v>1270</v>
      </c>
      <c r="D926" s="280" t="s">
        <v>1271</v>
      </c>
      <c r="E926" s="280"/>
      <c r="F926" s="2" t="s">
        <v>329</v>
      </c>
      <c r="G926" s="37">
        <v>1</v>
      </c>
      <c r="H926" s="38">
        <v>0</v>
      </c>
    </row>
    <row r="927" spans="1:8" x14ac:dyDescent="0.25">
      <c r="A927" s="85"/>
      <c r="D927" s="96" t="s">
        <v>219</v>
      </c>
      <c r="E927" s="388" t="s">
        <v>4</v>
      </c>
      <c r="F927" s="388"/>
      <c r="G927" s="97">
        <v>1</v>
      </c>
      <c r="H927" s="98"/>
    </row>
    <row r="928" spans="1:8" x14ac:dyDescent="0.25">
      <c r="A928" s="1" t="s">
        <v>1272</v>
      </c>
      <c r="B928" s="2" t="s">
        <v>89</v>
      </c>
      <c r="C928" s="2" t="s">
        <v>1273</v>
      </c>
      <c r="D928" s="280" t="s">
        <v>1274</v>
      </c>
      <c r="E928" s="280"/>
      <c r="F928" s="2" t="s">
        <v>329</v>
      </c>
      <c r="G928" s="37">
        <v>8</v>
      </c>
      <c r="H928" s="38">
        <v>0</v>
      </c>
    </row>
    <row r="929" spans="1:8" x14ac:dyDescent="0.25">
      <c r="A929" s="85"/>
      <c r="D929" s="96" t="s">
        <v>1580</v>
      </c>
      <c r="E929" s="388" t="s">
        <v>4</v>
      </c>
      <c r="F929" s="388"/>
      <c r="G929" s="97">
        <v>8</v>
      </c>
      <c r="H929" s="98"/>
    </row>
    <row r="930" spans="1:8" x14ac:dyDescent="0.25">
      <c r="A930" s="1" t="s">
        <v>1275</v>
      </c>
      <c r="B930" s="2" t="s">
        <v>89</v>
      </c>
      <c r="C930" s="2" t="s">
        <v>1276</v>
      </c>
      <c r="D930" s="280" t="s">
        <v>1277</v>
      </c>
      <c r="E930" s="280"/>
      <c r="F930" s="2" t="s">
        <v>333</v>
      </c>
      <c r="G930" s="37">
        <v>4.8</v>
      </c>
      <c r="H930" s="38">
        <v>0</v>
      </c>
    </row>
    <row r="931" spans="1:8" x14ac:dyDescent="0.25">
      <c r="A931" s="85"/>
      <c r="D931" s="96" t="s">
        <v>1578</v>
      </c>
      <c r="E931" s="388" t="s">
        <v>4</v>
      </c>
      <c r="F931" s="388"/>
      <c r="G931" s="97">
        <v>4.8</v>
      </c>
      <c r="H931" s="98"/>
    </row>
    <row r="932" spans="1:8" x14ac:dyDescent="0.25">
      <c r="A932" s="1" t="s">
        <v>1278</v>
      </c>
      <c r="B932" s="2" t="s">
        <v>89</v>
      </c>
      <c r="C932" s="2" t="s">
        <v>1279</v>
      </c>
      <c r="D932" s="280" t="s">
        <v>1280</v>
      </c>
      <c r="E932" s="280"/>
      <c r="F932" s="2" t="s">
        <v>333</v>
      </c>
      <c r="G932" s="37">
        <v>6.3</v>
      </c>
      <c r="H932" s="38">
        <v>0</v>
      </c>
    </row>
    <row r="933" spans="1:8" x14ac:dyDescent="0.25">
      <c r="A933" s="85"/>
      <c r="D933" s="96" t="s">
        <v>1579</v>
      </c>
      <c r="E933" s="388" t="s">
        <v>4</v>
      </c>
      <c r="F933" s="388"/>
      <c r="G933" s="97">
        <v>6.3</v>
      </c>
      <c r="H933" s="98"/>
    </row>
    <row r="934" spans="1:8" x14ac:dyDescent="0.25">
      <c r="A934" s="1" t="s">
        <v>1281</v>
      </c>
      <c r="B934" s="2" t="s">
        <v>89</v>
      </c>
      <c r="C934" s="2" t="s">
        <v>1282</v>
      </c>
      <c r="D934" s="280" t="s">
        <v>1283</v>
      </c>
      <c r="E934" s="280"/>
      <c r="F934" s="2" t="s">
        <v>296</v>
      </c>
      <c r="G934" s="37">
        <v>0.20147999999999999</v>
      </c>
      <c r="H934" s="38">
        <v>0</v>
      </c>
    </row>
    <row r="935" spans="1:8" x14ac:dyDescent="0.25">
      <c r="A935" s="1" t="s">
        <v>1284</v>
      </c>
      <c r="B935" s="2" t="s">
        <v>89</v>
      </c>
      <c r="C935" s="2" t="s">
        <v>1285</v>
      </c>
      <c r="D935" s="280" t="s">
        <v>1286</v>
      </c>
      <c r="E935" s="280"/>
      <c r="F935" s="2" t="s">
        <v>249</v>
      </c>
      <c r="G935" s="37">
        <v>56.34</v>
      </c>
      <c r="H935" s="38">
        <v>0</v>
      </c>
    </row>
    <row r="936" spans="1:8" x14ac:dyDescent="0.25">
      <c r="A936" s="85"/>
      <c r="D936" s="96" t="s">
        <v>1503</v>
      </c>
      <c r="E936" s="388" t="s">
        <v>4</v>
      </c>
      <c r="F936" s="388"/>
      <c r="G936" s="97">
        <v>22.44</v>
      </c>
      <c r="H936" s="98"/>
    </row>
    <row r="937" spans="1:8" x14ac:dyDescent="0.25">
      <c r="A937" s="1" t="s">
        <v>4</v>
      </c>
      <c r="B937" s="2" t="s">
        <v>4</v>
      </c>
      <c r="C937" s="2" t="s">
        <v>4</v>
      </c>
      <c r="D937" s="96" t="s">
        <v>1506</v>
      </c>
      <c r="E937" s="388" t="s">
        <v>4</v>
      </c>
      <c r="F937" s="388"/>
      <c r="G937" s="97">
        <v>33.9</v>
      </c>
      <c r="H937" s="79" t="s">
        <v>4</v>
      </c>
    </row>
    <row r="938" spans="1:8" x14ac:dyDescent="0.25">
      <c r="A938" s="1" t="s">
        <v>1287</v>
      </c>
      <c r="B938" s="2" t="s">
        <v>89</v>
      </c>
      <c r="C938" s="2" t="s">
        <v>1288</v>
      </c>
      <c r="D938" s="280" t="s">
        <v>1289</v>
      </c>
      <c r="E938" s="280"/>
      <c r="F938" s="2" t="s">
        <v>296</v>
      </c>
      <c r="G938" s="37">
        <v>0.19719</v>
      </c>
      <c r="H938" s="38">
        <v>0</v>
      </c>
    </row>
    <row r="939" spans="1:8" x14ac:dyDescent="0.25">
      <c r="A939" s="1" t="s">
        <v>1290</v>
      </c>
      <c r="B939" s="2" t="s">
        <v>89</v>
      </c>
      <c r="C939" s="2" t="s">
        <v>1291</v>
      </c>
      <c r="D939" s="280" t="s">
        <v>1292</v>
      </c>
      <c r="E939" s="280"/>
      <c r="F939" s="2" t="s">
        <v>329</v>
      </c>
      <c r="G939" s="37">
        <v>2</v>
      </c>
      <c r="H939" s="38">
        <v>0</v>
      </c>
    </row>
    <row r="940" spans="1:8" x14ac:dyDescent="0.25">
      <c r="A940" s="85"/>
      <c r="D940" s="96" t="s">
        <v>227</v>
      </c>
      <c r="E940" s="388" t="s">
        <v>1404</v>
      </c>
      <c r="F940" s="388"/>
      <c r="G940" s="97">
        <v>2</v>
      </c>
      <c r="H940" s="98"/>
    </row>
    <row r="941" spans="1:8" x14ac:dyDescent="0.25">
      <c r="A941" s="1" t="s">
        <v>1293</v>
      </c>
      <c r="B941" s="2" t="s">
        <v>89</v>
      </c>
      <c r="C941" s="2" t="s">
        <v>1294</v>
      </c>
      <c r="D941" s="280" t="s">
        <v>1295</v>
      </c>
      <c r="E941" s="280"/>
      <c r="F941" s="2" t="s">
        <v>296</v>
      </c>
      <c r="G941" s="37">
        <v>7.9799999999999996E-2</v>
      </c>
      <c r="H941" s="38">
        <v>0</v>
      </c>
    </row>
    <row r="942" spans="1:8" x14ac:dyDescent="0.25">
      <c r="A942" s="1" t="s">
        <v>1296</v>
      </c>
      <c r="B942" s="2" t="s">
        <v>89</v>
      </c>
      <c r="C942" s="2" t="s">
        <v>1297</v>
      </c>
      <c r="D942" s="280" t="s">
        <v>1298</v>
      </c>
      <c r="E942" s="280"/>
      <c r="F942" s="2" t="s">
        <v>296</v>
      </c>
      <c r="G942" s="37">
        <v>73.759399999999999</v>
      </c>
      <c r="H942" s="38">
        <v>0</v>
      </c>
    </row>
    <row r="943" spans="1:8" x14ac:dyDescent="0.25">
      <c r="A943" s="85"/>
      <c r="D943" s="96" t="s">
        <v>1676</v>
      </c>
      <c r="E943" s="388" t="s">
        <v>4</v>
      </c>
      <c r="F943" s="388"/>
      <c r="G943" s="97">
        <v>73.759399999999999</v>
      </c>
      <c r="H943" s="98"/>
    </row>
    <row r="944" spans="1:8" x14ac:dyDescent="0.25">
      <c r="A944" s="1" t="s">
        <v>1299</v>
      </c>
      <c r="B944" s="2" t="s">
        <v>89</v>
      </c>
      <c r="C944" s="2" t="s">
        <v>1300</v>
      </c>
      <c r="D944" s="280" t="s">
        <v>1301</v>
      </c>
      <c r="E944" s="280"/>
      <c r="F944" s="2" t="s">
        <v>296</v>
      </c>
      <c r="G944" s="37">
        <v>73.759399999999999</v>
      </c>
      <c r="H944" s="38">
        <v>0</v>
      </c>
    </row>
    <row r="945" spans="1:8" x14ac:dyDescent="0.25">
      <c r="A945" s="85"/>
      <c r="D945" s="96" t="s">
        <v>1676</v>
      </c>
      <c r="E945" s="388" t="s">
        <v>4</v>
      </c>
      <c r="F945" s="388"/>
      <c r="G945" s="97">
        <v>73.759399999999999</v>
      </c>
      <c r="H945" s="98"/>
    </row>
    <row r="946" spans="1:8" x14ac:dyDescent="0.25">
      <c r="A946" s="1" t="s">
        <v>1302</v>
      </c>
      <c r="B946" s="2" t="s">
        <v>89</v>
      </c>
      <c r="C946" s="2" t="s">
        <v>1303</v>
      </c>
      <c r="D946" s="280" t="s">
        <v>1304</v>
      </c>
      <c r="E946" s="280"/>
      <c r="F946" s="2" t="s">
        <v>296</v>
      </c>
      <c r="G946" s="37">
        <v>1475.1880000000001</v>
      </c>
      <c r="H946" s="38">
        <v>0</v>
      </c>
    </row>
    <row r="947" spans="1:8" x14ac:dyDescent="0.25">
      <c r="A947" s="85"/>
      <c r="D947" s="96" t="s">
        <v>1677</v>
      </c>
      <c r="E947" s="388" t="s">
        <v>4</v>
      </c>
      <c r="F947" s="388"/>
      <c r="G947" s="97">
        <v>1475.1880000000001</v>
      </c>
      <c r="H947" s="98"/>
    </row>
    <row r="948" spans="1:8" x14ac:dyDescent="0.25">
      <c r="A948" s="1" t="s">
        <v>1305</v>
      </c>
      <c r="B948" s="2" t="s">
        <v>89</v>
      </c>
      <c r="C948" s="2" t="s">
        <v>1306</v>
      </c>
      <c r="D948" s="280" t="s">
        <v>1307</v>
      </c>
      <c r="E948" s="280"/>
      <c r="F948" s="2" t="s">
        <v>296</v>
      </c>
      <c r="G948" s="37">
        <v>73.759399999999999</v>
      </c>
      <c r="H948" s="38">
        <v>0</v>
      </c>
    </row>
    <row r="949" spans="1:8" x14ac:dyDescent="0.25">
      <c r="A949" s="85"/>
      <c r="D949" s="96" t="s">
        <v>1676</v>
      </c>
      <c r="E949" s="388" t="s">
        <v>4</v>
      </c>
      <c r="F949" s="388"/>
      <c r="G949" s="97">
        <v>73.759399999999999</v>
      </c>
      <c r="H949" s="98"/>
    </row>
    <row r="950" spans="1:8" x14ac:dyDescent="0.25">
      <c r="A950" s="1" t="s">
        <v>1308</v>
      </c>
      <c r="B950" s="2" t="s">
        <v>89</v>
      </c>
      <c r="C950" s="2" t="s">
        <v>1309</v>
      </c>
      <c r="D950" s="280" t="s">
        <v>1310</v>
      </c>
      <c r="E950" s="280"/>
      <c r="F950" s="2" t="s">
        <v>296</v>
      </c>
      <c r="G950" s="37">
        <v>73.759399999999999</v>
      </c>
      <c r="H950" s="38">
        <v>0</v>
      </c>
    </row>
    <row r="951" spans="1:8" x14ac:dyDescent="0.25">
      <c r="A951" s="85"/>
      <c r="D951" s="96" t="s">
        <v>1676</v>
      </c>
      <c r="E951" s="388" t="s">
        <v>4</v>
      </c>
      <c r="F951" s="388"/>
      <c r="G951" s="97">
        <v>73.759399999999999</v>
      </c>
      <c r="H951" s="98"/>
    </row>
    <row r="952" spans="1:8" x14ac:dyDescent="0.25">
      <c r="A952" s="1" t="s">
        <v>1311</v>
      </c>
      <c r="B952" s="2" t="s">
        <v>89</v>
      </c>
      <c r="C952" s="2" t="s">
        <v>1312</v>
      </c>
      <c r="D952" s="280" t="s">
        <v>1313</v>
      </c>
      <c r="E952" s="280"/>
      <c r="F952" s="2" t="s">
        <v>803</v>
      </c>
      <c r="G952" s="37">
        <v>1</v>
      </c>
      <c r="H952" s="38">
        <v>0</v>
      </c>
    </row>
    <row r="953" spans="1:8" x14ac:dyDescent="0.25">
      <c r="A953" s="85"/>
      <c r="D953" s="96" t="s">
        <v>219</v>
      </c>
      <c r="E953" s="388" t="s">
        <v>4</v>
      </c>
      <c r="F953" s="388"/>
      <c r="G953" s="97">
        <v>1</v>
      </c>
      <c r="H953" s="98"/>
    </row>
    <row r="954" spans="1:8" x14ac:dyDescent="0.25">
      <c r="A954" s="1" t="s">
        <v>1315</v>
      </c>
      <c r="B954" s="2" t="s">
        <v>89</v>
      </c>
      <c r="C954" s="2" t="s">
        <v>1316</v>
      </c>
      <c r="D954" s="280" t="s">
        <v>1317</v>
      </c>
      <c r="E954" s="280"/>
      <c r="F954" s="2" t="s">
        <v>1318</v>
      </c>
      <c r="G954" s="37">
        <v>1</v>
      </c>
      <c r="H954" s="38">
        <v>0</v>
      </c>
    </row>
    <row r="955" spans="1:8" x14ac:dyDescent="0.25">
      <c r="A955" s="85"/>
      <c r="D955" s="96" t="s">
        <v>219</v>
      </c>
      <c r="E955" s="388" t="s">
        <v>4</v>
      </c>
      <c r="F955" s="388"/>
      <c r="G955" s="97">
        <v>1</v>
      </c>
      <c r="H955" s="98"/>
    </row>
    <row r="956" spans="1:8" x14ac:dyDescent="0.25">
      <c r="A956" s="1" t="s">
        <v>1321</v>
      </c>
      <c r="B956" s="2" t="s">
        <v>89</v>
      </c>
      <c r="C956" s="2" t="s">
        <v>1316</v>
      </c>
      <c r="D956" s="280" t="s">
        <v>1322</v>
      </c>
      <c r="E956" s="280"/>
      <c r="F956" s="2" t="s">
        <v>1318</v>
      </c>
      <c r="G956" s="37">
        <v>1</v>
      </c>
      <c r="H956" s="38">
        <v>0</v>
      </c>
    </row>
    <row r="957" spans="1:8" x14ac:dyDescent="0.25">
      <c r="A957" s="85"/>
      <c r="D957" s="96" t="s">
        <v>219</v>
      </c>
      <c r="E957" s="388" t="s">
        <v>4</v>
      </c>
      <c r="F957" s="388"/>
      <c r="G957" s="97">
        <v>1</v>
      </c>
      <c r="H957" s="98"/>
    </row>
    <row r="958" spans="1:8" x14ac:dyDescent="0.25">
      <c r="A958" s="1" t="s">
        <v>1323</v>
      </c>
      <c r="B958" s="2" t="s">
        <v>89</v>
      </c>
      <c r="C958" s="2" t="s">
        <v>1324</v>
      </c>
      <c r="D958" s="280" t="s">
        <v>26</v>
      </c>
      <c r="E958" s="280"/>
      <c r="F958" s="2" t="s">
        <v>1318</v>
      </c>
      <c r="G958" s="37">
        <v>1</v>
      </c>
      <c r="H958" s="38">
        <v>0</v>
      </c>
    </row>
    <row r="959" spans="1:8" x14ac:dyDescent="0.25">
      <c r="A959" s="85"/>
      <c r="D959" s="96" t="s">
        <v>219</v>
      </c>
      <c r="E959" s="388" t="s">
        <v>4</v>
      </c>
      <c r="F959" s="388"/>
      <c r="G959" s="97">
        <v>1</v>
      </c>
      <c r="H959" s="98"/>
    </row>
    <row r="960" spans="1:8" x14ac:dyDescent="0.25">
      <c r="A960" s="1" t="s">
        <v>1326</v>
      </c>
      <c r="B960" s="2" t="s">
        <v>89</v>
      </c>
      <c r="C960" s="2" t="s">
        <v>1327</v>
      </c>
      <c r="D960" s="280" t="s">
        <v>1328</v>
      </c>
      <c r="E960" s="280"/>
      <c r="F960" s="2" t="s">
        <v>1318</v>
      </c>
      <c r="G960" s="37">
        <v>1</v>
      </c>
      <c r="H960" s="38">
        <v>0</v>
      </c>
    </row>
    <row r="961" spans="1:8" x14ac:dyDescent="0.25">
      <c r="A961" s="85"/>
      <c r="D961" s="96" t="s">
        <v>219</v>
      </c>
      <c r="E961" s="388" t="s">
        <v>4</v>
      </c>
      <c r="F961" s="388"/>
      <c r="G961" s="97">
        <v>1</v>
      </c>
      <c r="H961" s="98"/>
    </row>
    <row r="962" spans="1:8" x14ac:dyDescent="0.25">
      <c r="A962" s="1" t="s">
        <v>1330</v>
      </c>
      <c r="B962" s="2" t="s">
        <v>89</v>
      </c>
      <c r="C962" s="2" t="s">
        <v>1331</v>
      </c>
      <c r="D962" s="280" t="s">
        <v>1332</v>
      </c>
      <c r="E962" s="280"/>
      <c r="F962" s="2" t="s">
        <v>1318</v>
      </c>
      <c r="G962" s="37">
        <v>1</v>
      </c>
      <c r="H962" s="38">
        <v>0</v>
      </c>
    </row>
    <row r="963" spans="1:8" x14ac:dyDescent="0.25">
      <c r="A963" s="85"/>
      <c r="D963" s="96" t="s">
        <v>219</v>
      </c>
      <c r="E963" s="388" t="s">
        <v>4</v>
      </c>
      <c r="F963" s="388"/>
      <c r="G963" s="97">
        <v>1</v>
      </c>
      <c r="H963" s="98"/>
    </row>
    <row r="964" spans="1:8" x14ac:dyDescent="0.25">
      <c r="A964" s="1" t="s">
        <v>1334</v>
      </c>
      <c r="B964" s="2" t="s">
        <v>89</v>
      </c>
      <c r="C964" s="2" t="s">
        <v>1335</v>
      </c>
      <c r="D964" s="280" t="s">
        <v>1336</v>
      </c>
      <c r="E964" s="280"/>
      <c r="F964" s="2" t="s">
        <v>1318</v>
      </c>
      <c r="G964" s="37">
        <v>1</v>
      </c>
      <c r="H964" s="38">
        <v>0</v>
      </c>
    </row>
    <row r="965" spans="1:8" x14ac:dyDescent="0.25">
      <c r="A965" s="85"/>
      <c r="D965" s="96" t="s">
        <v>219</v>
      </c>
      <c r="E965" s="388" t="s">
        <v>4</v>
      </c>
      <c r="F965" s="388"/>
      <c r="G965" s="97">
        <v>1</v>
      </c>
      <c r="H965" s="98"/>
    </row>
    <row r="966" spans="1:8" x14ac:dyDescent="0.25">
      <c r="A966" s="1" t="s">
        <v>1337</v>
      </c>
      <c r="B966" s="2" t="s">
        <v>89</v>
      </c>
      <c r="C966" s="2" t="s">
        <v>1338</v>
      </c>
      <c r="D966" s="280" t="s">
        <v>1339</v>
      </c>
      <c r="E966" s="280"/>
      <c r="F966" s="2" t="s">
        <v>1318</v>
      </c>
      <c r="G966" s="37">
        <v>1</v>
      </c>
      <c r="H966" s="38">
        <v>0</v>
      </c>
    </row>
    <row r="967" spans="1:8" x14ac:dyDescent="0.25">
      <c r="A967" s="100"/>
      <c r="B967" s="101"/>
      <c r="C967" s="101"/>
      <c r="D967" s="102" t="s">
        <v>219</v>
      </c>
      <c r="E967" s="389" t="s">
        <v>4</v>
      </c>
      <c r="F967" s="389"/>
      <c r="G967" s="103">
        <v>1</v>
      </c>
      <c r="H967" s="104"/>
    </row>
    <row r="969" spans="1:8" x14ac:dyDescent="0.25">
      <c r="A969" s="42" t="s">
        <v>57</v>
      </c>
    </row>
    <row r="970" spans="1:8" ht="67.5" customHeight="1" x14ac:dyDescent="0.25">
      <c r="A970" s="279" t="s">
        <v>187</v>
      </c>
      <c r="B970" s="280"/>
      <c r="C970" s="280"/>
      <c r="D970" s="280"/>
      <c r="E970" s="280"/>
      <c r="F970" s="280"/>
      <c r="G970" s="280"/>
    </row>
  </sheetData>
  <sheetProtection password="CC89" sheet="1"/>
  <mergeCells count="976"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  <mergeCell ref="D14:E14"/>
    <mergeCell ref="D15:E15"/>
    <mergeCell ref="D16:E16"/>
    <mergeCell ref="D17:E17"/>
    <mergeCell ref="D18:E18"/>
    <mergeCell ref="F8:H9"/>
    <mergeCell ref="D10:E10"/>
    <mergeCell ref="D11:E11"/>
    <mergeCell ref="D12:E12"/>
    <mergeCell ref="D13:E1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E64:F64"/>
    <mergeCell ref="E65:F65"/>
    <mergeCell ref="D66:E66"/>
    <mergeCell ref="E67:F67"/>
    <mergeCell ref="E68:F68"/>
    <mergeCell ref="D59:E59"/>
    <mergeCell ref="D60:E60"/>
    <mergeCell ref="D61:E61"/>
    <mergeCell ref="E62:F62"/>
    <mergeCell ref="E63:F63"/>
    <mergeCell ref="E74:F74"/>
    <mergeCell ref="E75:F75"/>
    <mergeCell ref="D76:E76"/>
    <mergeCell ref="E77:F77"/>
    <mergeCell ref="D78:E78"/>
    <mergeCell ref="E69:F69"/>
    <mergeCell ref="D70:E70"/>
    <mergeCell ref="E71:F71"/>
    <mergeCell ref="D72:E72"/>
    <mergeCell ref="E73:F73"/>
    <mergeCell ref="D84:E84"/>
    <mergeCell ref="E85:F85"/>
    <mergeCell ref="D86:E86"/>
    <mergeCell ref="E87:F87"/>
    <mergeCell ref="E88:F88"/>
    <mergeCell ref="E79:F79"/>
    <mergeCell ref="D80:E80"/>
    <mergeCell ref="E81:F81"/>
    <mergeCell ref="D82:E82"/>
    <mergeCell ref="E83:F83"/>
    <mergeCell ref="E94:F94"/>
    <mergeCell ref="D95:E95"/>
    <mergeCell ref="E96:F96"/>
    <mergeCell ref="E97:F97"/>
    <mergeCell ref="E98:F98"/>
    <mergeCell ref="D89:E89"/>
    <mergeCell ref="E90:F90"/>
    <mergeCell ref="D91:E91"/>
    <mergeCell ref="E92:F92"/>
    <mergeCell ref="D93:E93"/>
    <mergeCell ref="E104:F104"/>
    <mergeCell ref="D105:E105"/>
    <mergeCell ref="E106:F106"/>
    <mergeCell ref="D107:E107"/>
    <mergeCell ref="E108:F108"/>
    <mergeCell ref="E99:F99"/>
    <mergeCell ref="E100:F100"/>
    <mergeCell ref="D101:E101"/>
    <mergeCell ref="E102:F102"/>
    <mergeCell ref="D103:E103"/>
    <mergeCell ref="E114:F114"/>
    <mergeCell ref="D115:E115"/>
    <mergeCell ref="E116:F116"/>
    <mergeCell ref="D117:E117"/>
    <mergeCell ref="E118:F118"/>
    <mergeCell ref="E109:F109"/>
    <mergeCell ref="E110:F110"/>
    <mergeCell ref="E111:F111"/>
    <mergeCell ref="E112:F112"/>
    <mergeCell ref="D113:E113"/>
    <mergeCell ref="E124:F124"/>
    <mergeCell ref="D125:E125"/>
    <mergeCell ref="E126:F126"/>
    <mergeCell ref="D127:E127"/>
    <mergeCell ref="E128:F128"/>
    <mergeCell ref="D119:E119"/>
    <mergeCell ref="E120:F120"/>
    <mergeCell ref="E121:F121"/>
    <mergeCell ref="D122:E122"/>
    <mergeCell ref="E123:F123"/>
    <mergeCell ref="E134:F134"/>
    <mergeCell ref="D135:E135"/>
    <mergeCell ref="E136:F136"/>
    <mergeCell ref="E137:F137"/>
    <mergeCell ref="E138:F138"/>
    <mergeCell ref="D129:E129"/>
    <mergeCell ref="E130:F130"/>
    <mergeCell ref="D131:E131"/>
    <mergeCell ref="E132:F132"/>
    <mergeCell ref="D133:E133"/>
    <mergeCell ref="D144:E144"/>
    <mergeCell ref="E145:F145"/>
    <mergeCell ref="E146:F146"/>
    <mergeCell ref="D147:E147"/>
    <mergeCell ref="E148:F148"/>
    <mergeCell ref="D139:E139"/>
    <mergeCell ref="E140:F140"/>
    <mergeCell ref="E141:F141"/>
    <mergeCell ref="E142:F142"/>
    <mergeCell ref="E143:F143"/>
    <mergeCell ref="E154:F154"/>
    <mergeCell ref="D155:E155"/>
    <mergeCell ref="E156:F156"/>
    <mergeCell ref="D157:E157"/>
    <mergeCell ref="E158:F158"/>
    <mergeCell ref="E149:F149"/>
    <mergeCell ref="D150:E150"/>
    <mergeCell ref="E151:F151"/>
    <mergeCell ref="E152:F152"/>
    <mergeCell ref="D153:E153"/>
    <mergeCell ref="E164:F164"/>
    <mergeCell ref="D165:E165"/>
    <mergeCell ref="E166:F166"/>
    <mergeCell ref="D167:E167"/>
    <mergeCell ref="E168:F168"/>
    <mergeCell ref="D159:E159"/>
    <mergeCell ref="E160:F160"/>
    <mergeCell ref="D161:E161"/>
    <mergeCell ref="E162:F162"/>
    <mergeCell ref="D163:E163"/>
    <mergeCell ref="E174:F174"/>
    <mergeCell ref="D175:E175"/>
    <mergeCell ref="E176:F176"/>
    <mergeCell ref="E177:F177"/>
    <mergeCell ref="D178:E178"/>
    <mergeCell ref="D169:E169"/>
    <mergeCell ref="E170:F170"/>
    <mergeCell ref="E171:F171"/>
    <mergeCell ref="D172:E172"/>
    <mergeCell ref="E173:F173"/>
    <mergeCell ref="D184:E184"/>
    <mergeCell ref="E185:F185"/>
    <mergeCell ref="D186:E186"/>
    <mergeCell ref="E187:F187"/>
    <mergeCell ref="E188:F188"/>
    <mergeCell ref="E179:F179"/>
    <mergeCell ref="D180:E180"/>
    <mergeCell ref="E181:F181"/>
    <mergeCell ref="D182:E182"/>
    <mergeCell ref="E183:F183"/>
    <mergeCell ref="E194:F194"/>
    <mergeCell ref="D195:E195"/>
    <mergeCell ref="E196:F196"/>
    <mergeCell ref="E197:F197"/>
    <mergeCell ref="D198:E198"/>
    <mergeCell ref="D189:E189"/>
    <mergeCell ref="E190:F190"/>
    <mergeCell ref="E191:F191"/>
    <mergeCell ref="D192:E192"/>
    <mergeCell ref="E193:F193"/>
    <mergeCell ref="D204:E204"/>
    <mergeCell ref="E205:F205"/>
    <mergeCell ref="E206:F206"/>
    <mergeCell ref="D207:E207"/>
    <mergeCell ref="E208:F208"/>
    <mergeCell ref="E199:F199"/>
    <mergeCell ref="E200:F200"/>
    <mergeCell ref="D201:E201"/>
    <mergeCell ref="E202:F202"/>
    <mergeCell ref="E203:F203"/>
    <mergeCell ref="E214:F214"/>
    <mergeCell ref="E215:F215"/>
    <mergeCell ref="D216:E216"/>
    <mergeCell ref="E217:F217"/>
    <mergeCell ref="E218:F218"/>
    <mergeCell ref="D209:E209"/>
    <mergeCell ref="E210:F210"/>
    <mergeCell ref="D211:E211"/>
    <mergeCell ref="E212:F212"/>
    <mergeCell ref="D213:E213"/>
    <mergeCell ref="E224:F224"/>
    <mergeCell ref="E225:F225"/>
    <mergeCell ref="E226:F226"/>
    <mergeCell ref="D227:E227"/>
    <mergeCell ref="E228:F228"/>
    <mergeCell ref="D219:E219"/>
    <mergeCell ref="E220:F220"/>
    <mergeCell ref="E221:F221"/>
    <mergeCell ref="E222:F222"/>
    <mergeCell ref="D223:E223"/>
    <mergeCell ref="D234:E234"/>
    <mergeCell ref="E235:F235"/>
    <mergeCell ref="D236:E236"/>
    <mergeCell ref="E237:F237"/>
    <mergeCell ref="E238:F238"/>
    <mergeCell ref="E229:F229"/>
    <mergeCell ref="D230:E230"/>
    <mergeCell ref="E231:F231"/>
    <mergeCell ref="D232:E232"/>
    <mergeCell ref="E233:F233"/>
    <mergeCell ref="E244:F244"/>
    <mergeCell ref="E245:F245"/>
    <mergeCell ref="D246:E246"/>
    <mergeCell ref="E247:F247"/>
    <mergeCell ref="E248:F248"/>
    <mergeCell ref="D239:E239"/>
    <mergeCell ref="E240:F240"/>
    <mergeCell ref="E241:F241"/>
    <mergeCell ref="E242:F242"/>
    <mergeCell ref="D243:E243"/>
    <mergeCell ref="E254:F254"/>
    <mergeCell ref="E255:F255"/>
    <mergeCell ref="D256:E256"/>
    <mergeCell ref="E257:F257"/>
    <mergeCell ref="D258:E258"/>
    <mergeCell ref="E249:F249"/>
    <mergeCell ref="D250:E250"/>
    <mergeCell ref="E251:F251"/>
    <mergeCell ref="D252:E252"/>
    <mergeCell ref="E253:F253"/>
    <mergeCell ref="E264:F264"/>
    <mergeCell ref="D265:E265"/>
    <mergeCell ref="E266:F266"/>
    <mergeCell ref="E267:F267"/>
    <mergeCell ref="D268:E268"/>
    <mergeCell ref="E259:F259"/>
    <mergeCell ref="D260:E260"/>
    <mergeCell ref="E261:F261"/>
    <mergeCell ref="E262:F262"/>
    <mergeCell ref="D263:E263"/>
    <mergeCell ref="E274:F274"/>
    <mergeCell ref="E275:F275"/>
    <mergeCell ref="E276:F276"/>
    <mergeCell ref="E277:F277"/>
    <mergeCell ref="E278:F278"/>
    <mergeCell ref="E269:F269"/>
    <mergeCell ref="E270:F270"/>
    <mergeCell ref="E271:F271"/>
    <mergeCell ref="E272:F272"/>
    <mergeCell ref="E273:F273"/>
    <mergeCell ref="D284:E284"/>
    <mergeCell ref="E285:F285"/>
    <mergeCell ref="E286:F286"/>
    <mergeCell ref="D287:E287"/>
    <mergeCell ref="E288:F288"/>
    <mergeCell ref="E279:F279"/>
    <mergeCell ref="E280:F280"/>
    <mergeCell ref="E281:F281"/>
    <mergeCell ref="E282:F282"/>
    <mergeCell ref="E283:F283"/>
    <mergeCell ref="D294:E294"/>
    <mergeCell ref="E295:F295"/>
    <mergeCell ref="E296:F296"/>
    <mergeCell ref="E297:F297"/>
    <mergeCell ref="D298:E298"/>
    <mergeCell ref="D289:E289"/>
    <mergeCell ref="E290:F290"/>
    <mergeCell ref="E291:F291"/>
    <mergeCell ref="E292:F292"/>
    <mergeCell ref="E293:F293"/>
    <mergeCell ref="E304:F304"/>
    <mergeCell ref="D305:E305"/>
    <mergeCell ref="E306:F306"/>
    <mergeCell ref="D307:E307"/>
    <mergeCell ref="E308:F308"/>
    <mergeCell ref="E299:F299"/>
    <mergeCell ref="D300:E300"/>
    <mergeCell ref="E301:F301"/>
    <mergeCell ref="E302:F302"/>
    <mergeCell ref="D303:E303"/>
    <mergeCell ref="D314:E314"/>
    <mergeCell ref="E315:F315"/>
    <mergeCell ref="D316:E316"/>
    <mergeCell ref="E317:F317"/>
    <mergeCell ref="E318:F318"/>
    <mergeCell ref="D309:E309"/>
    <mergeCell ref="E310:F310"/>
    <mergeCell ref="D311:E311"/>
    <mergeCell ref="E312:F312"/>
    <mergeCell ref="E313:F313"/>
    <mergeCell ref="E324:F324"/>
    <mergeCell ref="E325:F325"/>
    <mergeCell ref="D326:E326"/>
    <mergeCell ref="E327:F327"/>
    <mergeCell ref="E328:F328"/>
    <mergeCell ref="E319:F319"/>
    <mergeCell ref="E320:F320"/>
    <mergeCell ref="D321:E321"/>
    <mergeCell ref="E322:F322"/>
    <mergeCell ref="E323:F323"/>
    <mergeCell ref="D334:E334"/>
    <mergeCell ref="E335:F335"/>
    <mergeCell ref="D336:E336"/>
    <mergeCell ref="E337:F337"/>
    <mergeCell ref="D338:E338"/>
    <mergeCell ref="E329:F329"/>
    <mergeCell ref="E330:F330"/>
    <mergeCell ref="D331:E331"/>
    <mergeCell ref="E332:F332"/>
    <mergeCell ref="E333:F333"/>
    <mergeCell ref="E344:F344"/>
    <mergeCell ref="E345:F345"/>
    <mergeCell ref="E346:F346"/>
    <mergeCell ref="E347:F347"/>
    <mergeCell ref="D348:E348"/>
    <mergeCell ref="E339:F339"/>
    <mergeCell ref="E340:F340"/>
    <mergeCell ref="E341:F341"/>
    <mergeCell ref="E342:F342"/>
    <mergeCell ref="E343:F343"/>
    <mergeCell ref="E354:F354"/>
    <mergeCell ref="E355:F355"/>
    <mergeCell ref="D356:E356"/>
    <mergeCell ref="E357:F357"/>
    <mergeCell ref="E358:F358"/>
    <mergeCell ref="E349:F349"/>
    <mergeCell ref="D350:E350"/>
    <mergeCell ref="D351:E351"/>
    <mergeCell ref="E352:F352"/>
    <mergeCell ref="E353:F353"/>
    <mergeCell ref="E364:F364"/>
    <mergeCell ref="E365:F365"/>
    <mergeCell ref="D366:E366"/>
    <mergeCell ref="E367:F367"/>
    <mergeCell ref="E368:F368"/>
    <mergeCell ref="E359:F359"/>
    <mergeCell ref="E360:F360"/>
    <mergeCell ref="D361:E361"/>
    <mergeCell ref="E362:F362"/>
    <mergeCell ref="E363:F363"/>
    <mergeCell ref="E374:F374"/>
    <mergeCell ref="E375:F375"/>
    <mergeCell ref="E376:F376"/>
    <mergeCell ref="E377:F377"/>
    <mergeCell ref="D378:E378"/>
    <mergeCell ref="D369:E369"/>
    <mergeCell ref="E370:F370"/>
    <mergeCell ref="D371:E371"/>
    <mergeCell ref="E372:F372"/>
    <mergeCell ref="D373:E373"/>
    <mergeCell ref="E384:F384"/>
    <mergeCell ref="E385:F385"/>
    <mergeCell ref="D386:E386"/>
    <mergeCell ref="E387:F387"/>
    <mergeCell ref="E388:F388"/>
    <mergeCell ref="E379:F379"/>
    <mergeCell ref="E380:F380"/>
    <mergeCell ref="D381:E381"/>
    <mergeCell ref="E382:F382"/>
    <mergeCell ref="E383:F383"/>
    <mergeCell ref="E394:F394"/>
    <mergeCell ref="E395:F395"/>
    <mergeCell ref="D396:E396"/>
    <mergeCell ref="E397:F397"/>
    <mergeCell ref="E398:F398"/>
    <mergeCell ref="E389:F389"/>
    <mergeCell ref="E390:F390"/>
    <mergeCell ref="D391:E391"/>
    <mergeCell ref="E392:F392"/>
    <mergeCell ref="D393:E393"/>
    <mergeCell ref="E404:F404"/>
    <mergeCell ref="D405:E405"/>
    <mergeCell ref="E406:F406"/>
    <mergeCell ref="D407:E407"/>
    <mergeCell ref="E408:F408"/>
    <mergeCell ref="E399:F399"/>
    <mergeCell ref="D400:E400"/>
    <mergeCell ref="E401:F401"/>
    <mergeCell ref="E402:F402"/>
    <mergeCell ref="D403:E403"/>
    <mergeCell ref="E414:F414"/>
    <mergeCell ref="D415:E415"/>
    <mergeCell ref="E416:F416"/>
    <mergeCell ref="D417:E417"/>
    <mergeCell ref="E418:F418"/>
    <mergeCell ref="D409:E409"/>
    <mergeCell ref="E410:F410"/>
    <mergeCell ref="D411:E411"/>
    <mergeCell ref="E412:F412"/>
    <mergeCell ref="D413:E413"/>
    <mergeCell ref="D424:E424"/>
    <mergeCell ref="E425:F425"/>
    <mergeCell ref="D426:E426"/>
    <mergeCell ref="E427:F427"/>
    <mergeCell ref="D428:E428"/>
    <mergeCell ref="E419:F419"/>
    <mergeCell ref="D420:E420"/>
    <mergeCell ref="E421:F421"/>
    <mergeCell ref="D422:E422"/>
    <mergeCell ref="E423:F423"/>
    <mergeCell ref="D434:E434"/>
    <mergeCell ref="E435:F435"/>
    <mergeCell ref="E436:F436"/>
    <mergeCell ref="D437:E437"/>
    <mergeCell ref="E438:F438"/>
    <mergeCell ref="E429:F429"/>
    <mergeCell ref="D430:E430"/>
    <mergeCell ref="E431:F431"/>
    <mergeCell ref="E432:F432"/>
    <mergeCell ref="E433:F433"/>
    <mergeCell ref="E444:F444"/>
    <mergeCell ref="D445:E445"/>
    <mergeCell ref="E446:F446"/>
    <mergeCell ref="D447:E447"/>
    <mergeCell ref="E448:F448"/>
    <mergeCell ref="D439:E439"/>
    <mergeCell ref="E440:F440"/>
    <mergeCell ref="D441:E441"/>
    <mergeCell ref="E442:F442"/>
    <mergeCell ref="D443:E443"/>
    <mergeCell ref="E454:F454"/>
    <mergeCell ref="D455:E455"/>
    <mergeCell ref="E456:F456"/>
    <mergeCell ref="D457:E457"/>
    <mergeCell ref="E458:F458"/>
    <mergeCell ref="D449:E449"/>
    <mergeCell ref="E450:F450"/>
    <mergeCell ref="D451:E451"/>
    <mergeCell ref="E452:F452"/>
    <mergeCell ref="D453:E453"/>
    <mergeCell ref="E464:F464"/>
    <mergeCell ref="D465:E465"/>
    <mergeCell ref="E466:F466"/>
    <mergeCell ref="D467:E467"/>
    <mergeCell ref="E468:F468"/>
    <mergeCell ref="D459:E459"/>
    <mergeCell ref="E460:F460"/>
    <mergeCell ref="D461:E461"/>
    <mergeCell ref="E462:F462"/>
    <mergeCell ref="D463:E463"/>
    <mergeCell ref="D474:E474"/>
    <mergeCell ref="E475:F475"/>
    <mergeCell ref="D476:E476"/>
    <mergeCell ref="E477:F477"/>
    <mergeCell ref="D478:E478"/>
    <mergeCell ref="D469:E469"/>
    <mergeCell ref="E470:F470"/>
    <mergeCell ref="E471:F471"/>
    <mergeCell ref="D472:E472"/>
    <mergeCell ref="E473:F473"/>
    <mergeCell ref="E484:F484"/>
    <mergeCell ref="E485:F485"/>
    <mergeCell ref="D486:E486"/>
    <mergeCell ref="E487:F487"/>
    <mergeCell ref="D488:E488"/>
    <mergeCell ref="E479:F479"/>
    <mergeCell ref="D480:E480"/>
    <mergeCell ref="E481:F481"/>
    <mergeCell ref="E482:F482"/>
    <mergeCell ref="D483:E483"/>
    <mergeCell ref="D494:E494"/>
    <mergeCell ref="E495:F495"/>
    <mergeCell ref="D496:E496"/>
    <mergeCell ref="E497:F497"/>
    <mergeCell ref="D498:E498"/>
    <mergeCell ref="E489:F489"/>
    <mergeCell ref="D490:E490"/>
    <mergeCell ref="E491:F491"/>
    <mergeCell ref="D492:E492"/>
    <mergeCell ref="E493:F493"/>
    <mergeCell ref="E504:F504"/>
    <mergeCell ref="D505:E505"/>
    <mergeCell ref="E506:F506"/>
    <mergeCell ref="D507:E507"/>
    <mergeCell ref="E508:F508"/>
    <mergeCell ref="E499:F499"/>
    <mergeCell ref="D500:G500"/>
    <mergeCell ref="D501:E501"/>
    <mergeCell ref="E502:F502"/>
    <mergeCell ref="D503:E503"/>
    <mergeCell ref="E514:F514"/>
    <mergeCell ref="D515:E515"/>
    <mergeCell ref="E516:F516"/>
    <mergeCell ref="D517:E517"/>
    <mergeCell ref="E518:F518"/>
    <mergeCell ref="D509:E509"/>
    <mergeCell ref="E510:F510"/>
    <mergeCell ref="D511:E511"/>
    <mergeCell ref="E512:F512"/>
    <mergeCell ref="D513:E513"/>
    <mergeCell ref="E524:F524"/>
    <mergeCell ref="D525:E525"/>
    <mergeCell ref="E526:F526"/>
    <mergeCell ref="D527:E527"/>
    <mergeCell ref="E528:F528"/>
    <mergeCell ref="D519:E519"/>
    <mergeCell ref="E520:F520"/>
    <mergeCell ref="D521:E521"/>
    <mergeCell ref="E522:F522"/>
    <mergeCell ref="D523:E523"/>
    <mergeCell ref="E534:F534"/>
    <mergeCell ref="D535:E535"/>
    <mergeCell ref="E536:F536"/>
    <mergeCell ref="D537:E537"/>
    <mergeCell ref="E538:F538"/>
    <mergeCell ref="D529:E529"/>
    <mergeCell ref="E530:F530"/>
    <mergeCell ref="D531:E531"/>
    <mergeCell ref="E532:F532"/>
    <mergeCell ref="D533:E533"/>
    <mergeCell ref="E544:F544"/>
    <mergeCell ref="D545:E545"/>
    <mergeCell ref="E546:F546"/>
    <mergeCell ref="D547:E547"/>
    <mergeCell ref="E548:F548"/>
    <mergeCell ref="D539:E539"/>
    <mergeCell ref="E540:F540"/>
    <mergeCell ref="D541:E541"/>
    <mergeCell ref="E542:F542"/>
    <mergeCell ref="D543:E543"/>
    <mergeCell ref="E554:F554"/>
    <mergeCell ref="D555:E555"/>
    <mergeCell ref="E556:F556"/>
    <mergeCell ref="D557:E557"/>
    <mergeCell ref="E558:F558"/>
    <mergeCell ref="D549:E549"/>
    <mergeCell ref="E550:F550"/>
    <mergeCell ref="D551:E551"/>
    <mergeCell ref="E552:F552"/>
    <mergeCell ref="D553:E553"/>
    <mergeCell ref="E564:F564"/>
    <mergeCell ref="D565:E565"/>
    <mergeCell ref="E566:F566"/>
    <mergeCell ref="D567:E567"/>
    <mergeCell ref="E568:F568"/>
    <mergeCell ref="D559:E559"/>
    <mergeCell ref="E560:F560"/>
    <mergeCell ref="D561:E561"/>
    <mergeCell ref="E562:F562"/>
    <mergeCell ref="D563:E563"/>
    <mergeCell ref="E574:F574"/>
    <mergeCell ref="D575:E575"/>
    <mergeCell ref="E576:F576"/>
    <mergeCell ref="D577:E577"/>
    <mergeCell ref="E578:F578"/>
    <mergeCell ref="D569:E569"/>
    <mergeCell ref="E570:F570"/>
    <mergeCell ref="D571:E571"/>
    <mergeCell ref="E572:F572"/>
    <mergeCell ref="D573:E573"/>
    <mergeCell ref="E584:F584"/>
    <mergeCell ref="E585:F585"/>
    <mergeCell ref="D586:E586"/>
    <mergeCell ref="E587:F587"/>
    <mergeCell ref="D588:E588"/>
    <mergeCell ref="D579:E579"/>
    <mergeCell ref="E580:F580"/>
    <mergeCell ref="E581:F581"/>
    <mergeCell ref="E582:F582"/>
    <mergeCell ref="E583:F583"/>
    <mergeCell ref="D594:E594"/>
    <mergeCell ref="E595:F595"/>
    <mergeCell ref="D596:E596"/>
    <mergeCell ref="E597:F597"/>
    <mergeCell ref="D598:E598"/>
    <mergeCell ref="E589:F589"/>
    <mergeCell ref="D590:E590"/>
    <mergeCell ref="E591:F591"/>
    <mergeCell ref="D592:E592"/>
    <mergeCell ref="E593:F593"/>
    <mergeCell ref="D604:E604"/>
    <mergeCell ref="E605:F605"/>
    <mergeCell ref="D606:E606"/>
    <mergeCell ref="E607:F607"/>
    <mergeCell ref="D608:E608"/>
    <mergeCell ref="E599:F599"/>
    <mergeCell ref="D600:E600"/>
    <mergeCell ref="E601:F601"/>
    <mergeCell ref="D602:E602"/>
    <mergeCell ref="E603:F603"/>
    <mergeCell ref="D614:E614"/>
    <mergeCell ref="E615:F615"/>
    <mergeCell ref="D616:E616"/>
    <mergeCell ref="E617:F617"/>
    <mergeCell ref="D618:E618"/>
    <mergeCell ref="E609:F609"/>
    <mergeCell ref="D610:E610"/>
    <mergeCell ref="E611:F611"/>
    <mergeCell ref="D612:E612"/>
    <mergeCell ref="E613:F613"/>
    <mergeCell ref="D624:E624"/>
    <mergeCell ref="E625:F625"/>
    <mergeCell ref="E626:F626"/>
    <mergeCell ref="E627:F627"/>
    <mergeCell ref="D628:E628"/>
    <mergeCell ref="E619:F619"/>
    <mergeCell ref="D620:E620"/>
    <mergeCell ref="E621:F621"/>
    <mergeCell ref="D622:E622"/>
    <mergeCell ref="E623:F623"/>
    <mergeCell ref="D634:E634"/>
    <mergeCell ref="E635:F635"/>
    <mergeCell ref="D636:E636"/>
    <mergeCell ref="E637:F637"/>
    <mergeCell ref="D638:E638"/>
    <mergeCell ref="E629:F629"/>
    <mergeCell ref="E630:F630"/>
    <mergeCell ref="E631:F631"/>
    <mergeCell ref="D632:E632"/>
    <mergeCell ref="E633:F633"/>
    <mergeCell ref="D644:E644"/>
    <mergeCell ref="E645:F645"/>
    <mergeCell ref="E646:F646"/>
    <mergeCell ref="D647:E647"/>
    <mergeCell ref="E648:F648"/>
    <mergeCell ref="E639:F639"/>
    <mergeCell ref="E640:F640"/>
    <mergeCell ref="D641:E641"/>
    <mergeCell ref="E642:F642"/>
    <mergeCell ref="E643:F643"/>
    <mergeCell ref="E654:F654"/>
    <mergeCell ref="E655:F655"/>
    <mergeCell ref="D656:E656"/>
    <mergeCell ref="E657:F657"/>
    <mergeCell ref="E658:F658"/>
    <mergeCell ref="D649:E649"/>
    <mergeCell ref="E650:F650"/>
    <mergeCell ref="D651:E651"/>
    <mergeCell ref="E652:F652"/>
    <mergeCell ref="D653:E653"/>
    <mergeCell ref="E664:F664"/>
    <mergeCell ref="D665:E665"/>
    <mergeCell ref="E666:F666"/>
    <mergeCell ref="E667:F667"/>
    <mergeCell ref="E668:F668"/>
    <mergeCell ref="D659:E659"/>
    <mergeCell ref="E660:F660"/>
    <mergeCell ref="E661:F661"/>
    <mergeCell ref="D662:E662"/>
    <mergeCell ref="E663:F663"/>
    <mergeCell ref="E674:F674"/>
    <mergeCell ref="D675:E675"/>
    <mergeCell ref="E676:F676"/>
    <mergeCell ref="E677:F677"/>
    <mergeCell ref="E678:F678"/>
    <mergeCell ref="D669:E669"/>
    <mergeCell ref="E670:F670"/>
    <mergeCell ref="D671:E671"/>
    <mergeCell ref="E672:F672"/>
    <mergeCell ref="D673:E673"/>
    <mergeCell ref="E684:F684"/>
    <mergeCell ref="D685:E685"/>
    <mergeCell ref="E686:F686"/>
    <mergeCell ref="E687:F687"/>
    <mergeCell ref="D688:E688"/>
    <mergeCell ref="D679:E679"/>
    <mergeCell ref="E680:F680"/>
    <mergeCell ref="D681:E681"/>
    <mergeCell ref="E682:F682"/>
    <mergeCell ref="D683:E683"/>
    <mergeCell ref="E694:F694"/>
    <mergeCell ref="D695:E695"/>
    <mergeCell ref="E696:F696"/>
    <mergeCell ref="D697:E697"/>
    <mergeCell ref="E698:F698"/>
    <mergeCell ref="E689:F689"/>
    <mergeCell ref="D690:E690"/>
    <mergeCell ref="E691:F691"/>
    <mergeCell ref="D692:E692"/>
    <mergeCell ref="E693:F693"/>
    <mergeCell ref="E704:F704"/>
    <mergeCell ref="D705:E705"/>
    <mergeCell ref="E706:F706"/>
    <mergeCell ref="D707:E707"/>
    <mergeCell ref="E708:F708"/>
    <mergeCell ref="D699:E699"/>
    <mergeCell ref="E700:F700"/>
    <mergeCell ref="D701:E701"/>
    <mergeCell ref="E702:F702"/>
    <mergeCell ref="D703:E703"/>
    <mergeCell ref="E714:F714"/>
    <mergeCell ref="D715:E715"/>
    <mergeCell ref="E716:F716"/>
    <mergeCell ref="D717:E717"/>
    <mergeCell ref="E718:F718"/>
    <mergeCell ref="D709:E709"/>
    <mergeCell ref="E710:F710"/>
    <mergeCell ref="D711:E711"/>
    <mergeCell ref="E712:F712"/>
    <mergeCell ref="D713:E713"/>
    <mergeCell ref="E724:F724"/>
    <mergeCell ref="E725:F725"/>
    <mergeCell ref="E726:F726"/>
    <mergeCell ref="D727:E727"/>
    <mergeCell ref="E728:F728"/>
    <mergeCell ref="D719:E719"/>
    <mergeCell ref="E720:F720"/>
    <mergeCell ref="E721:F721"/>
    <mergeCell ref="E722:F722"/>
    <mergeCell ref="D723:E723"/>
    <mergeCell ref="D734:E734"/>
    <mergeCell ref="E735:F735"/>
    <mergeCell ref="D736:E736"/>
    <mergeCell ref="E737:F737"/>
    <mergeCell ref="E738:F738"/>
    <mergeCell ref="E729:F729"/>
    <mergeCell ref="E730:F730"/>
    <mergeCell ref="D731:E731"/>
    <mergeCell ref="E732:F732"/>
    <mergeCell ref="E733:F733"/>
    <mergeCell ref="E744:F744"/>
    <mergeCell ref="E745:F745"/>
    <mergeCell ref="D746:E746"/>
    <mergeCell ref="E747:F747"/>
    <mergeCell ref="D748:E748"/>
    <mergeCell ref="E739:F739"/>
    <mergeCell ref="E740:F740"/>
    <mergeCell ref="D741:E741"/>
    <mergeCell ref="E742:F742"/>
    <mergeCell ref="E743:F743"/>
    <mergeCell ref="E754:F754"/>
    <mergeCell ref="D755:E755"/>
    <mergeCell ref="E756:F756"/>
    <mergeCell ref="D757:E757"/>
    <mergeCell ref="E758:F758"/>
    <mergeCell ref="E749:F749"/>
    <mergeCell ref="E750:F750"/>
    <mergeCell ref="E751:F751"/>
    <mergeCell ref="E752:F752"/>
    <mergeCell ref="E753:F753"/>
    <mergeCell ref="D764:E764"/>
    <mergeCell ref="E765:F765"/>
    <mergeCell ref="D766:E766"/>
    <mergeCell ref="E767:F767"/>
    <mergeCell ref="D768:E768"/>
    <mergeCell ref="D759:E759"/>
    <mergeCell ref="E760:F760"/>
    <mergeCell ref="D761:E761"/>
    <mergeCell ref="E762:F762"/>
    <mergeCell ref="E763:F763"/>
    <mergeCell ref="D774:E774"/>
    <mergeCell ref="E775:F775"/>
    <mergeCell ref="E776:F776"/>
    <mergeCell ref="D777:E777"/>
    <mergeCell ref="E778:F778"/>
    <mergeCell ref="E769:F769"/>
    <mergeCell ref="E770:F770"/>
    <mergeCell ref="D771:E771"/>
    <mergeCell ref="E772:F772"/>
    <mergeCell ref="E773:F773"/>
    <mergeCell ref="D784:E784"/>
    <mergeCell ref="E785:F785"/>
    <mergeCell ref="D786:E786"/>
    <mergeCell ref="E787:F787"/>
    <mergeCell ref="D788:E788"/>
    <mergeCell ref="E779:F779"/>
    <mergeCell ref="D780:E780"/>
    <mergeCell ref="E781:F781"/>
    <mergeCell ref="D782:E782"/>
    <mergeCell ref="E783:F783"/>
    <mergeCell ref="E794:F794"/>
    <mergeCell ref="E795:F795"/>
    <mergeCell ref="D796:E796"/>
    <mergeCell ref="E797:F797"/>
    <mergeCell ref="D798:E798"/>
    <mergeCell ref="E789:F789"/>
    <mergeCell ref="E790:F790"/>
    <mergeCell ref="E791:F791"/>
    <mergeCell ref="E792:F792"/>
    <mergeCell ref="E793:F793"/>
    <mergeCell ref="D804:E804"/>
    <mergeCell ref="E805:F805"/>
    <mergeCell ref="D806:E806"/>
    <mergeCell ref="E807:F807"/>
    <mergeCell ref="D808:E808"/>
    <mergeCell ref="E799:F799"/>
    <mergeCell ref="D800:E800"/>
    <mergeCell ref="E801:F801"/>
    <mergeCell ref="D802:E802"/>
    <mergeCell ref="E803:F803"/>
    <mergeCell ref="D814:E814"/>
    <mergeCell ref="E815:F815"/>
    <mergeCell ref="D816:E816"/>
    <mergeCell ref="E817:F817"/>
    <mergeCell ref="D818:E818"/>
    <mergeCell ref="E809:F809"/>
    <mergeCell ref="D810:E810"/>
    <mergeCell ref="E811:F811"/>
    <mergeCell ref="D812:E812"/>
    <mergeCell ref="E813:F813"/>
    <mergeCell ref="D824:E824"/>
    <mergeCell ref="E825:F825"/>
    <mergeCell ref="E826:F826"/>
    <mergeCell ref="E827:F827"/>
    <mergeCell ref="D828:E828"/>
    <mergeCell ref="E819:F819"/>
    <mergeCell ref="D820:E820"/>
    <mergeCell ref="E821:F821"/>
    <mergeCell ref="D822:E822"/>
    <mergeCell ref="E823:F823"/>
    <mergeCell ref="D834:E834"/>
    <mergeCell ref="E835:F835"/>
    <mergeCell ref="E836:F836"/>
    <mergeCell ref="E837:F837"/>
    <mergeCell ref="E838:F838"/>
    <mergeCell ref="E829:F829"/>
    <mergeCell ref="D830:E830"/>
    <mergeCell ref="E831:F831"/>
    <mergeCell ref="D832:E832"/>
    <mergeCell ref="E833:F833"/>
    <mergeCell ref="E844:F844"/>
    <mergeCell ref="D845:E845"/>
    <mergeCell ref="E846:F846"/>
    <mergeCell ref="E847:F847"/>
    <mergeCell ref="D848:E848"/>
    <mergeCell ref="D839:E839"/>
    <mergeCell ref="E840:F840"/>
    <mergeCell ref="D841:E841"/>
    <mergeCell ref="E842:F842"/>
    <mergeCell ref="D843:E843"/>
    <mergeCell ref="D854:E854"/>
    <mergeCell ref="E855:F855"/>
    <mergeCell ref="D856:E856"/>
    <mergeCell ref="E857:F857"/>
    <mergeCell ref="D858:E858"/>
    <mergeCell ref="E849:F849"/>
    <mergeCell ref="D850:E850"/>
    <mergeCell ref="E851:F851"/>
    <mergeCell ref="D852:E852"/>
    <mergeCell ref="E853:F853"/>
    <mergeCell ref="D864:E864"/>
    <mergeCell ref="E865:F865"/>
    <mergeCell ref="D866:E866"/>
    <mergeCell ref="E867:F867"/>
    <mergeCell ref="D868:E868"/>
    <mergeCell ref="D859:E859"/>
    <mergeCell ref="E860:F860"/>
    <mergeCell ref="E861:F861"/>
    <mergeCell ref="D862:E862"/>
    <mergeCell ref="E863:F863"/>
    <mergeCell ref="E874:F874"/>
    <mergeCell ref="E875:F875"/>
    <mergeCell ref="D876:E876"/>
    <mergeCell ref="E877:F877"/>
    <mergeCell ref="E878:F878"/>
    <mergeCell ref="E869:F869"/>
    <mergeCell ref="E870:F870"/>
    <mergeCell ref="D871:E871"/>
    <mergeCell ref="E872:F872"/>
    <mergeCell ref="D873:E873"/>
    <mergeCell ref="E884:F884"/>
    <mergeCell ref="D885:E885"/>
    <mergeCell ref="D886:E886"/>
    <mergeCell ref="E887:F887"/>
    <mergeCell ref="D888:E888"/>
    <mergeCell ref="E879:F879"/>
    <mergeCell ref="E880:F880"/>
    <mergeCell ref="E881:F881"/>
    <mergeCell ref="D882:E882"/>
    <mergeCell ref="E883:F883"/>
    <mergeCell ref="E894:F894"/>
    <mergeCell ref="E895:F895"/>
    <mergeCell ref="D896:E896"/>
    <mergeCell ref="E897:F897"/>
    <mergeCell ref="D898:E898"/>
    <mergeCell ref="E889:F889"/>
    <mergeCell ref="E890:F890"/>
    <mergeCell ref="D891:E891"/>
    <mergeCell ref="E892:F892"/>
    <mergeCell ref="E893:F893"/>
    <mergeCell ref="D904:E904"/>
    <mergeCell ref="E905:F905"/>
    <mergeCell ref="E906:F906"/>
    <mergeCell ref="D907:E907"/>
    <mergeCell ref="E908:F908"/>
    <mergeCell ref="E899:F899"/>
    <mergeCell ref="D900:E900"/>
    <mergeCell ref="E901:F901"/>
    <mergeCell ref="D902:E902"/>
    <mergeCell ref="E903:F903"/>
    <mergeCell ref="D914:E914"/>
    <mergeCell ref="E915:F915"/>
    <mergeCell ref="E916:F916"/>
    <mergeCell ref="D917:E917"/>
    <mergeCell ref="D918:E918"/>
    <mergeCell ref="E909:F909"/>
    <mergeCell ref="D910:E910"/>
    <mergeCell ref="E911:F911"/>
    <mergeCell ref="D912:E912"/>
    <mergeCell ref="E913:F913"/>
    <mergeCell ref="D924:E924"/>
    <mergeCell ref="E925:F925"/>
    <mergeCell ref="D926:E926"/>
    <mergeCell ref="E927:F927"/>
    <mergeCell ref="D928:E928"/>
    <mergeCell ref="E919:F919"/>
    <mergeCell ref="D920:E920"/>
    <mergeCell ref="E921:F921"/>
    <mergeCell ref="D922:E922"/>
    <mergeCell ref="E923:F923"/>
    <mergeCell ref="D934:E934"/>
    <mergeCell ref="D935:E935"/>
    <mergeCell ref="E936:F936"/>
    <mergeCell ref="E937:F937"/>
    <mergeCell ref="D938:E938"/>
    <mergeCell ref="E929:F929"/>
    <mergeCell ref="D930:E930"/>
    <mergeCell ref="E931:F931"/>
    <mergeCell ref="D932:E932"/>
    <mergeCell ref="E933:F933"/>
    <mergeCell ref="D944:E944"/>
    <mergeCell ref="E945:F945"/>
    <mergeCell ref="D946:E946"/>
    <mergeCell ref="E947:F947"/>
    <mergeCell ref="D948:E948"/>
    <mergeCell ref="D939:E939"/>
    <mergeCell ref="E940:F940"/>
    <mergeCell ref="D941:E941"/>
    <mergeCell ref="D942:E942"/>
    <mergeCell ref="E943:F943"/>
    <mergeCell ref="D954:E954"/>
    <mergeCell ref="E955:F955"/>
    <mergeCell ref="D956:E956"/>
    <mergeCell ref="E957:F957"/>
    <mergeCell ref="D958:E958"/>
    <mergeCell ref="E949:F949"/>
    <mergeCell ref="D950:E950"/>
    <mergeCell ref="E951:F951"/>
    <mergeCell ref="D952:E952"/>
    <mergeCell ref="E953:F953"/>
    <mergeCell ref="D964:E964"/>
    <mergeCell ref="E965:F965"/>
    <mergeCell ref="D966:E966"/>
    <mergeCell ref="E967:F967"/>
    <mergeCell ref="A970:G970"/>
    <mergeCell ref="E959:F959"/>
    <mergeCell ref="D960:E960"/>
    <mergeCell ref="E961:F961"/>
    <mergeCell ref="D962:E962"/>
    <mergeCell ref="E963:F963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EDEA-ED02-406C-B859-DFE09880DCB0}">
  <sheetPr>
    <pageSetUpPr fitToPage="1"/>
  </sheetPr>
  <dimension ref="A1:G54"/>
  <sheetViews>
    <sheetView view="pageBreakPreview" topLeftCell="B49" zoomScale="145" zoomScaleNormal="145" zoomScaleSheetLayoutView="145" workbookViewId="0">
      <selection activeCell="K8" sqref="K8"/>
    </sheetView>
  </sheetViews>
  <sheetFormatPr defaultColWidth="8.85546875" defaultRowHeight="15" x14ac:dyDescent="0.25"/>
  <cols>
    <col min="1" max="1" width="11.5703125" style="108" customWidth="1"/>
    <col min="2" max="2" width="55.42578125" style="108" customWidth="1"/>
    <col min="3" max="3" width="0" style="108" hidden="1" customWidth="1"/>
    <col min="4" max="4" width="8.5703125" style="108" customWidth="1"/>
    <col min="5" max="5" width="8.7109375" style="108" customWidth="1"/>
    <col min="6" max="6" width="10.42578125" style="108" customWidth="1"/>
    <col min="7" max="7" width="12.7109375" style="108" customWidth="1"/>
    <col min="8" max="16384" width="8.85546875" style="108"/>
  </cols>
  <sheetData>
    <row r="1" spans="1:7" ht="15" customHeight="1" x14ac:dyDescent="0.25">
      <c r="A1" s="105"/>
      <c r="B1" s="106" t="s">
        <v>1678</v>
      </c>
      <c r="C1" s="107"/>
      <c r="D1" s="392"/>
      <c r="E1" s="393"/>
      <c r="F1" s="396" t="s">
        <v>1679</v>
      </c>
      <c r="G1" s="397"/>
    </row>
    <row r="2" spans="1:7" ht="15" customHeight="1" x14ac:dyDescent="0.25">
      <c r="A2" s="109"/>
      <c r="B2" s="110" t="s">
        <v>1680</v>
      </c>
      <c r="C2" s="111"/>
      <c r="D2" s="394"/>
      <c r="E2" s="395"/>
      <c r="F2" s="398"/>
      <c r="G2" s="399"/>
    </row>
    <row r="3" spans="1:7" ht="17.25" customHeight="1" x14ac:dyDescent="0.25">
      <c r="A3" s="109"/>
      <c r="B3" s="110" t="s">
        <v>1681</v>
      </c>
      <c r="C3" s="111"/>
      <c r="D3" s="113"/>
      <c r="E3" s="112"/>
      <c r="F3" s="114"/>
      <c r="G3" s="115"/>
    </row>
    <row r="4" spans="1:7" ht="15.75" x14ac:dyDescent="0.25">
      <c r="A4" s="116" t="s">
        <v>1682</v>
      </c>
      <c r="B4" s="117"/>
      <c r="C4" s="118"/>
      <c r="D4" s="119"/>
      <c r="E4" s="120"/>
      <c r="F4" s="121"/>
      <c r="G4" s="122"/>
    </row>
    <row r="5" spans="1:7" ht="18" x14ac:dyDescent="0.25">
      <c r="A5" s="123"/>
      <c r="B5" s="400" t="s">
        <v>142</v>
      </c>
      <c r="C5" s="400"/>
      <c r="D5" s="400"/>
      <c r="E5" s="400"/>
      <c r="F5" s="400"/>
      <c r="G5" s="401"/>
    </row>
    <row r="6" spans="1:7" x14ac:dyDescent="0.25">
      <c r="A6" s="124" t="s">
        <v>83</v>
      </c>
      <c r="B6" s="125" t="s">
        <v>1683</v>
      </c>
      <c r="C6" s="125" t="s">
        <v>1684</v>
      </c>
      <c r="D6" s="126" t="s">
        <v>198</v>
      </c>
      <c r="E6" s="127" t="s">
        <v>1685</v>
      </c>
      <c r="F6" s="128" t="s">
        <v>1686</v>
      </c>
      <c r="G6" s="129" t="s">
        <v>1687</v>
      </c>
    </row>
    <row r="7" spans="1:7" x14ac:dyDescent="0.25">
      <c r="A7" s="130"/>
      <c r="B7" s="131" t="s">
        <v>1688</v>
      </c>
      <c r="C7" s="132"/>
      <c r="D7" s="133"/>
      <c r="E7" s="134"/>
      <c r="F7" s="135"/>
      <c r="G7" s="136"/>
    </row>
    <row r="8" spans="1:7" ht="36.75" x14ac:dyDescent="0.25">
      <c r="A8" s="130" t="s">
        <v>1689</v>
      </c>
      <c r="B8" s="137" t="s">
        <v>1690</v>
      </c>
      <c r="C8" s="132"/>
      <c r="D8" s="138">
        <v>1</v>
      </c>
      <c r="E8" s="139" t="s">
        <v>803</v>
      </c>
      <c r="F8" s="140"/>
      <c r="G8" s="141">
        <f>F8*D8</f>
        <v>0</v>
      </c>
    </row>
    <row r="9" spans="1:7" x14ac:dyDescent="0.25">
      <c r="A9" s="130" t="s">
        <v>1691</v>
      </c>
      <c r="B9" s="142" t="s">
        <v>1692</v>
      </c>
      <c r="C9" s="132"/>
      <c r="D9" s="133">
        <v>1</v>
      </c>
      <c r="E9" s="134" t="s">
        <v>803</v>
      </c>
      <c r="F9" s="143"/>
      <c r="G9" s="136">
        <f t="shared" ref="G9:G52" si="0">F9*D9</f>
        <v>0</v>
      </c>
    </row>
    <row r="10" spans="1:7" x14ac:dyDescent="0.25">
      <c r="A10" s="130" t="s">
        <v>1693</v>
      </c>
      <c r="B10" s="144" t="s">
        <v>1694</v>
      </c>
      <c r="C10" s="132"/>
      <c r="D10" s="133">
        <v>1</v>
      </c>
      <c r="E10" s="134" t="s">
        <v>1695</v>
      </c>
      <c r="F10" s="143"/>
      <c r="G10" s="136">
        <f t="shared" si="0"/>
        <v>0</v>
      </c>
    </row>
    <row r="11" spans="1:7" x14ac:dyDescent="0.25">
      <c r="A11" s="130" t="s">
        <v>1696</v>
      </c>
      <c r="B11" s="144" t="s">
        <v>1697</v>
      </c>
      <c r="C11" s="132"/>
      <c r="D11" s="133">
        <v>2</v>
      </c>
      <c r="E11" s="134" t="s">
        <v>803</v>
      </c>
      <c r="F11" s="143"/>
      <c r="G11" s="136">
        <f t="shared" si="0"/>
        <v>0</v>
      </c>
    </row>
    <row r="12" spans="1:7" ht="15.75" customHeight="1" x14ac:dyDescent="0.25">
      <c r="A12" s="130" t="s">
        <v>1698</v>
      </c>
      <c r="B12" s="144" t="s">
        <v>1699</v>
      </c>
      <c r="C12" s="132"/>
      <c r="D12" s="133">
        <v>1</v>
      </c>
      <c r="E12" s="134" t="s">
        <v>1695</v>
      </c>
      <c r="F12" s="143"/>
      <c r="G12" s="136">
        <f t="shared" si="0"/>
        <v>0</v>
      </c>
    </row>
    <row r="13" spans="1:7" ht="14.25" customHeight="1" x14ac:dyDescent="0.25">
      <c r="A13" s="130" t="s">
        <v>1700</v>
      </c>
      <c r="B13" s="144" t="s">
        <v>1701</v>
      </c>
      <c r="C13" s="132"/>
      <c r="D13" s="133">
        <v>1</v>
      </c>
      <c r="E13" s="134" t="s">
        <v>1695</v>
      </c>
      <c r="F13" s="143"/>
      <c r="G13" s="136">
        <f t="shared" si="0"/>
        <v>0</v>
      </c>
    </row>
    <row r="14" spans="1:7" x14ac:dyDescent="0.25">
      <c r="A14" s="130" t="s">
        <v>1702</v>
      </c>
      <c r="B14" s="144" t="s">
        <v>1703</v>
      </c>
      <c r="C14" s="132"/>
      <c r="D14" s="133">
        <v>1</v>
      </c>
      <c r="E14" s="134" t="s">
        <v>1695</v>
      </c>
      <c r="F14" s="143"/>
      <c r="G14" s="136">
        <f t="shared" si="0"/>
        <v>0</v>
      </c>
    </row>
    <row r="15" spans="1:7" x14ac:dyDescent="0.25">
      <c r="A15" s="130"/>
      <c r="B15" s="144"/>
      <c r="C15" s="132"/>
      <c r="D15" s="133"/>
      <c r="E15" s="134"/>
      <c r="F15" s="143"/>
      <c r="G15" s="136">
        <f t="shared" si="0"/>
        <v>0</v>
      </c>
    </row>
    <row r="16" spans="1:7" x14ac:dyDescent="0.25">
      <c r="A16" s="130"/>
      <c r="B16" s="145" t="s">
        <v>1704</v>
      </c>
      <c r="C16" s="132"/>
      <c r="D16" s="133"/>
      <c r="E16" s="134"/>
      <c r="F16" s="143"/>
      <c r="G16" s="136">
        <f t="shared" si="0"/>
        <v>0</v>
      </c>
    </row>
    <row r="17" spans="1:7" x14ac:dyDescent="0.25">
      <c r="A17" s="130" t="s">
        <v>1705</v>
      </c>
      <c r="B17" s="144" t="s">
        <v>1706</v>
      </c>
      <c r="C17" s="132"/>
      <c r="D17" s="133">
        <v>10</v>
      </c>
      <c r="E17" s="134" t="s">
        <v>1695</v>
      </c>
      <c r="F17" s="143"/>
      <c r="G17" s="136">
        <f t="shared" si="0"/>
        <v>0</v>
      </c>
    </row>
    <row r="18" spans="1:7" x14ac:dyDescent="0.25">
      <c r="A18" s="130" t="s">
        <v>1707</v>
      </c>
      <c r="B18" s="144" t="s">
        <v>1708</v>
      </c>
      <c r="C18" s="132"/>
      <c r="D18" s="133">
        <v>2</v>
      </c>
      <c r="E18" s="134" t="s">
        <v>1695</v>
      </c>
      <c r="F18" s="143"/>
      <c r="G18" s="136">
        <f t="shared" si="0"/>
        <v>0</v>
      </c>
    </row>
    <row r="19" spans="1:7" x14ac:dyDescent="0.25">
      <c r="A19" s="130" t="s">
        <v>1709</v>
      </c>
      <c r="B19" s="144" t="s">
        <v>1710</v>
      </c>
      <c r="C19" s="132"/>
      <c r="D19" s="133">
        <v>1</v>
      </c>
      <c r="E19" s="134" t="s">
        <v>1695</v>
      </c>
      <c r="F19" s="143"/>
      <c r="G19" s="136">
        <f t="shared" si="0"/>
        <v>0</v>
      </c>
    </row>
    <row r="20" spans="1:7" x14ac:dyDescent="0.25">
      <c r="A20" s="130" t="s">
        <v>1711</v>
      </c>
      <c r="B20" s="144" t="s">
        <v>1712</v>
      </c>
      <c r="C20" s="132"/>
      <c r="D20" s="133">
        <v>10</v>
      </c>
      <c r="E20" s="134" t="s">
        <v>1695</v>
      </c>
      <c r="F20" s="143"/>
      <c r="G20" s="136">
        <f t="shared" si="0"/>
        <v>0</v>
      </c>
    </row>
    <row r="21" spans="1:7" x14ac:dyDescent="0.25">
      <c r="A21" s="130" t="s">
        <v>1713</v>
      </c>
      <c r="B21" s="144" t="s">
        <v>1714</v>
      </c>
      <c r="C21" s="132"/>
      <c r="D21" s="133">
        <v>3</v>
      </c>
      <c r="E21" s="134" t="s">
        <v>1695</v>
      </c>
      <c r="F21" s="143"/>
      <c r="G21" s="136">
        <f t="shared" si="0"/>
        <v>0</v>
      </c>
    </row>
    <row r="22" spans="1:7" x14ac:dyDescent="0.25">
      <c r="A22" s="130" t="s">
        <v>1715</v>
      </c>
      <c r="B22" s="144" t="s">
        <v>1716</v>
      </c>
      <c r="C22" s="132"/>
      <c r="D22" s="133">
        <v>3</v>
      </c>
      <c r="E22" s="134" t="s">
        <v>1695</v>
      </c>
      <c r="F22" s="143"/>
      <c r="G22" s="136">
        <f t="shared" si="0"/>
        <v>0</v>
      </c>
    </row>
    <row r="23" spans="1:7" x14ac:dyDescent="0.25">
      <c r="A23" s="130" t="s">
        <v>1717</v>
      </c>
      <c r="B23" s="144" t="s">
        <v>1718</v>
      </c>
      <c r="C23" s="132"/>
      <c r="D23" s="133">
        <v>3</v>
      </c>
      <c r="E23" s="134" t="s">
        <v>803</v>
      </c>
      <c r="F23" s="143"/>
      <c r="G23" s="136">
        <f t="shared" si="0"/>
        <v>0</v>
      </c>
    </row>
    <row r="24" spans="1:7" x14ac:dyDescent="0.25">
      <c r="A24" s="130" t="s">
        <v>1719</v>
      </c>
      <c r="B24" s="144" t="s">
        <v>1720</v>
      </c>
      <c r="C24" s="132"/>
      <c r="D24" s="133">
        <v>1</v>
      </c>
      <c r="E24" s="134" t="s">
        <v>1695</v>
      </c>
      <c r="F24" s="143"/>
      <c r="G24" s="136">
        <f t="shared" si="0"/>
        <v>0</v>
      </c>
    </row>
    <row r="25" spans="1:7" x14ac:dyDescent="0.25">
      <c r="A25" s="130"/>
      <c r="B25" s="144"/>
      <c r="C25" s="132"/>
      <c r="D25" s="133"/>
      <c r="E25" s="134"/>
      <c r="F25" s="143"/>
      <c r="G25" s="136">
        <f t="shared" si="0"/>
        <v>0</v>
      </c>
    </row>
    <row r="26" spans="1:7" x14ac:dyDescent="0.25">
      <c r="A26" s="130"/>
      <c r="B26" s="131" t="s">
        <v>1721</v>
      </c>
      <c r="C26" s="132"/>
      <c r="D26" s="133"/>
      <c r="E26" s="146"/>
      <c r="F26" s="143"/>
      <c r="G26" s="136">
        <f t="shared" si="0"/>
        <v>0</v>
      </c>
    </row>
    <row r="27" spans="1:7" ht="24.75" x14ac:dyDescent="0.25">
      <c r="A27" s="130" t="s">
        <v>1722</v>
      </c>
      <c r="B27" s="144" t="s">
        <v>1723</v>
      </c>
      <c r="C27" s="132"/>
      <c r="D27" s="133">
        <v>70</v>
      </c>
      <c r="E27" s="146" t="s">
        <v>333</v>
      </c>
      <c r="F27" s="143"/>
      <c r="G27" s="136">
        <f t="shared" si="0"/>
        <v>0</v>
      </c>
    </row>
    <row r="28" spans="1:7" x14ac:dyDescent="0.25">
      <c r="A28" s="130" t="s">
        <v>1724</v>
      </c>
      <c r="B28" s="144" t="s">
        <v>1725</v>
      </c>
      <c r="C28" s="132"/>
      <c r="D28" s="133">
        <v>15</v>
      </c>
      <c r="E28" s="146" t="s">
        <v>1695</v>
      </c>
      <c r="F28" s="143"/>
      <c r="G28" s="136">
        <f t="shared" si="0"/>
        <v>0</v>
      </c>
    </row>
    <row r="29" spans="1:7" x14ac:dyDescent="0.25">
      <c r="A29" s="130"/>
      <c r="B29" s="144"/>
      <c r="C29" s="132"/>
      <c r="D29" s="133"/>
      <c r="E29" s="146"/>
      <c r="F29" s="143"/>
      <c r="G29" s="136">
        <f t="shared" si="0"/>
        <v>0</v>
      </c>
    </row>
    <row r="30" spans="1:7" x14ac:dyDescent="0.25">
      <c r="A30" s="130"/>
      <c r="B30" s="131" t="s">
        <v>1726</v>
      </c>
      <c r="C30" s="132"/>
      <c r="D30" s="133"/>
      <c r="E30" s="146"/>
      <c r="F30" s="143"/>
      <c r="G30" s="136">
        <f t="shared" si="0"/>
        <v>0</v>
      </c>
    </row>
    <row r="31" spans="1:7" x14ac:dyDescent="0.25">
      <c r="A31" s="130"/>
      <c r="B31" s="142" t="s">
        <v>1727</v>
      </c>
      <c r="C31" s="132"/>
      <c r="D31" s="133"/>
      <c r="E31" s="134"/>
      <c r="F31" s="143"/>
      <c r="G31" s="136">
        <f t="shared" si="0"/>
        <v>0</v>
      </c>
    </row>
    <row r="32" spans="1:7" x14ac:dyDescent="0.25">
      <c r="A32" s="130" t="s">
        <v>1728</v>
      </c>
      <c r="B32" s="142" t="s">
        <v>1729</v>
      </c>
      <c r="C32" s="132"/>
      <c r="D32" s="133">
        <v>35</v>
      </c>
      <c r="E32" s="134" t="s">
        <v>333</v>
      </c>
      <c r="F32" s="143"/>
      <c r="G32" s="136">
        <f t="shared" si="0"/>
        <v>0</v>
      </c>
    </row>
    <row r="33" spans="1:7" x14ac:dyDescent="0.25">
      <c r="A33" s="130" t="s">
        <v>1730</v>
      </c>
      <c r="B33" s="142" t="s">
        <v>1731</v>
      </c>
      <c r="C33" s="132"/>
      <c r="D33" s="133">
        <v>4</v>
      </c>
      <c r="E33" s="134" t="s">
        <v>333</v>
      </c>
      <c r="F33" s="143"/>
      <c r="G33" s="136">
        <f t="shared" si="0"/>
        <v>0</v>
      </c>
    </row>
    <row r="34" spans="1:7" x14ac:dyDescent="0.25">
      <c r="A34" s="130"/>
      <c r="B34" s="144"/>
      <c r="C34" s="132"/>
      <c r="D34" s="133"/>
      <c r="E34" s="134"/>
      <c r="F34" s="143"/>
      <c r="G34" s="136">
        <f t="shared" si="0"/>
        <v>0</v>
      </c>
    </row>
    <row r="35" spans="1:7" x14ac:dyDescent="0.25">
      <c r="A35" s="130"/>
      <c r="B35" s="145" t="s">
        <v>1732</v>
      </c>
      <c r="C35" s="132"/>
      <c r="D35" s="133"/>
      <c r="E35" s="134"/>
      <c r="F35" s="143"/>
      <c r="G35" s="136">
        <f t="shared" si="0"/>
        <v>0</v>
      </c>
    </row>
    <row r="36" spans="1:7" x14ac:dyDescent="0.25">
      <c r="A36" s="130"/>
      <c r="B36" s="142" t="s">
        <v>1733</v>
      </c>
      <c r="C36" s="132"/>
      <c r="D36" s="133"/>
      <c r="E36" s="134"/>
      <c r="F36" s="143"/>
      <c r="G36" s="136">
        <f t="shared" si="0"/>
        <v>0</v>
      </c>
    </row>
    <row r="37" spans="1:7" x14ac:dyDescent="0.25">
      <c r="A37" s="130" t="s">
        <v>1734</v>
      </c>
      <c r="B37" s="147" t="s">
        <v>1735</v>
      </c>
      <c r="C37" s="132"/>
      <c r="D37" s="133">
        <v>38</v>
      </c>
      <c r="E37" s="134" t="s">
        <v>333</v>
      </c>
      <c r="F37" s="143"/>
      <c r="G37" s="136">
        <f t="shared" si="0"/>
        <v>0</v>
      </c>
    </row>
    <row r="38" spans="1:7" x14ac:dyDescent="0.25">
      <c r="A38" s="130" t="s">
        <v>1734</v>
      </c>
      <c r="B38" s="147" t="s">
        <v>1736</v>
      </c>
      <c r="C38" s="132"/>
      <c r="D38" s="133">
        <v>5</v>
      </c>
      <c r="E38" s="134" t="s">
        <v>333</v>
      </c>
      <c r="F38" s="143"/>
      <c r="G38" s="136">
        <f t="shared" si="0"/>
        <v>0</v>
      </c>
    </row>
    <row r="39" spans="1:7" x14ac:dyDescent="0.25">
      <c r="A39" s="130"/>
      <c r="B39" s="144"/>
      <c r="C39" s="132"/>
      <c r="D39" s="133"/>
      <c r="E39" s="134"/>
      <c r="F39" s="143"/>
      <c r="G39" s="136">
        <f t="shared" si="0"/>
        <v>0</v>
      </c>
    </row>
    <row r="40" spans="1:7" x14ac:dyDescent="0.25">
      <c r="A40" s="130"/>
      <c r="B40" s="145" t="s">
        <v>1737</v>
      </c>
      <c r="C40" s="132"/>
      <c r="D40" s="133"/>
      <c r="E40" s="134"/>
      <c r="F40" s="143"/>
      <c r="G40" s="136">
        <f t="shared" si="0"/>
        <v>0</v>
      </c>
    </row>
    <row r="41" spans="1:7" x14ac:dyDescent="0.25">
      <c r="A41" s="130"/>
      <c r="B41" s="142" t="s">
        <v>1738</v>
      </c>
      <c r="C41" s="132"/>
      <c r="D41" s="133"/>
      <c r="E41" s="134"/>
      <c r="F41" s="143"/>
      <c r="G41" s="136">
        <f t="shared" si="0"/>
        <v>0</v>
      </c>
    </row>
    <row r="42" spans="1:7" x14ac:dyDescent="0.25">
      <c r="A42" s="130" t="s">
        <v>1739</v>
      </c>
      <c r="B42" s="142" t="s">
        <v>1740</v>
      </c>
      <c r="C42" s="132"/>
      <c r="D42" s="133">
        <v>10</v>
      </c>
      <c r="E42" s="134" t="s">
        <v>333</v>
      </c>
      <c r="F42" s="143"/>
      <c r="G42" s="136">
        <f t="shared" si="0"/>
        <v>0</v>
      </c>
    </row>
    <row r="43" spans="1:7" x14ac:dyDescent="0.25">
      <c r="A43" s="130" t="s">
        <v>1741</v>
      </c>
      <c r="B43" s="142" t="s">
        <v>1742</v>
      </c>
      <c r="C43" s="132"/>
      <c r="D43" s="133">
        <v>30</v>
      </c>
      <c r="E43" s="134" t="s">
        <v>1695</v>
      </c>
      <c r="F43" s="143"/>
      <c r="G43" s="136">
        <f t="shared" si="0"/>
        <v>0</v>
      </c>
    </row>
    <row r="44" spans="1:7" x14ac:dyDescent="0.25">
      <c r="A44" s="130"/>
      <c r="B44" s="144"/>
      <c r="C44" s="132"/>
      <c r="D44" s="133"/>
      <c r="E44" s="134"/>
      <c r="F44" s="143"/>
      <c r="G44" s="136">
        <f t="shared" si="0"/>
        <v>0</v>
      </c>
    </row>
    <row r="45" spans="1:7" x14ac:dyDescent="0.25">
      <c r="A45" s="130"/>
      <c r="B45" s="145" t="s">
        <v>1743</v>
      </c>
      <c r="C45" s="132"/>
      <c r="D45" s="133"/>
      <c r="E45" s="134"/>
      <c r="F45" s="143"/>
      <c r="G45" s="136">
        <f t="shared" si="0"/>
        <v>0</v>
      </c>
    </row>
    <row r="46" spans="1:7" x14ac:dyDescent="0.25">
      <c r="A46" s="130" t="s">
        <v>1744</v>
      </c>
      <c r="B46" s="142" t="s">
        <v>1745</v>
      </c>
      <c r="C46" s="132"/>
      <c r="D46" s="133">
        <v>1</v>
      </c>
      <c r="E46" s="134" t="s">
        <v>803</v>
      </c>
      <c r="F46" s="143"/>
      <c r="G46" s="136">
        <f t="shared" si="0"/>
        <v>0</v>
      </c>
    </row>
    <row r="47" spans="1:7" x14ac:dyDescent="0.25">
      <c r="A47" s="130" t="s">
        <v>1746</v>
      </c>
      <c r="B47" s="142" t="s">
        <v>1747</v>
      </c>
      <c r="C47" s="132"/>
      <c r="D47" s="133">
        <f>SUM(D32:D33)</f>
        <v>39</v>
      </c>
      <c r="E47" s="134" t="s">
        <v>333</v>
      </c>
      <c r="F47" s="143"/>
      <c r="G47" s="136">
        <f t="shared" si="0"/>
        <v>0</v>
      </c>
    </row>
    <row r="48" spans="1:7" x14ac:dyDescent="0.25">
      <c r="A48" s="130" t="s">
        <v>1748</v>
      </c>
      <c r="B48" s="142" t="s">
        <v>1749</v>
      </c>
      <c r="C48" s="132"/>
      <c r="D48" s="133">
        <v>24</v>
      </c>
      <c r="E48" s="134" t="s">
        <v>1750</v>
      </c>
      <c r="F48" s="143"/>
      <c r="G48" s="136">
        <f t="shared" si="0"/>
        <v>0</v>
      </c>
    </row>
    <row r="49" spans="1:7" x14ac:dyDescent="0.25">
      <c r="A49" s="130" t="s">
        <v>1751</v>
      </c>
      <c r="B49" s="142" t="s">
        <v>1752</v>
      </c>
      <c r="C49" s="132"/>
      <c r="D49" s="133">
        <v>8</v>
      </c>
      <c r="E49" s="134" t="s">
        <v>1750</v>
      </c>
      <c r="F49" s="143"/>
      <c r="G49" s="136">
        <f t="shared" si="0"/>
        <v>0</v>
      </c>
    </row>
    <row r="50" spans="1:7" x14ac:dyDescent="0.25">
      <c r="A50" s="130" t="s">
        <v>1753</v>
      </c>
      <c r="B50" s="142" t="s">
        <v>1754</v>
      </c>
      <c r="C50" s="132"/>
      <c r="D50" s="133">
        <v>8</v>
      </c>
      <c r="E50" s="134" t="s">
        <v>1750</v>
      </c>
      <c r="F50" s="143"/>
      <c r="G50" s="136">
        <f t="shared" si="0"/>
        <v>0</v>
      </c>
    </row>
    <row r="51" spans="1:7" x14ac:dyDescent="0.25">
      <c r="A51" s="130" t="s">
        <v>1755</v>
      </c>
      <c r="B51" s="142" t="s">
        <v>1756</v>
      </c>
      <c r="C51" s="132"/>
      <c r="D51" s="133">
        <v>1</v>
      </c>
      <c r="E51" s="134" t="s">
        <v>1757</v>
      </c>
      <c r="F51" s="143"/>
      <c r="G51" s="136">
        <f t="shared" si="0"/>
        <v>0</v>
      </c>
    </row>
    <row r="52" spans="1:7" x14ac:dyDescent="0.25">
      <c r="A52" s="130" t="s">
        <v>1758</v>
      </c>
      <c r="B52" s="142" t="s">
        <v>1759</v>
      </c>
      <c r="C52" s="132"/>
      <c r="D52" s="148">
        <v>1.3</v>
      </c>
      <c r="E52" s="134" t="s">
        <v>63</v>
      </c>
      <c r="F52" s="143"/>
      <c r="G52" s="136">
        <f t="shared" si="0"/>
        <v>0</v>
      </c>
    </row>
    <row r="53" spans="1:7" x14ac:dyDescent="0.25">
      <c r="A53" s="130"/>
      <c r="B53" s="142"/>
      <c r="C53" s="132"/>
      <c r="D53" s="133"/>
      <c r="E53" s="134"/>
      <c r="F53" s="135"/>
      <c r="G53" s="136"/>
    </row>
    <row r="54" spans="1:7" ht="16.5" thickBot="1" x14ac:dyDescent="0.3">
      <c r="A54" s="149"/>
      <c r="B54" s="150" t="s">
        <v>1760</v>
      </c>
      <c r="C54" s="151"/>
      <c r="D54" s="152"/>
      <c r="E54" s="153"/>
      <c r="F54" s="154"/>
      <c r="G54" s="155">
        <f>SUM(G7:G53)</f>
        <v>0</v>
      </c>
    </row>
  </sheetData>
  <sheetProtection selectLockedCells="1"/>
  <protectedRanges>
    <protectedRange algorithmName="SHA-512" hashValue="jSrYn/6lkx8MSLlQk2qiQecZ6T2v+CgEynEUNd4Nb+PFnnO4+dnLLWRAA/I6LU6z3LYB2COKzlOtLwnd9jTLLA==" saltValue="whhwC/sORq4PhuHLej4Asw==" spinCount="100000" sqref="F8:F52" name="Oblast1"/>
  </protectedRanges>
  <mergeCells count="3">
    <mergeCell ref="D1:E2"/>
    <mergeCell ref="F1:G2"/>
    <mergeCell ref="B5:G5"/>
  </mergeCells>
  <pageMargins left="0.70866141732283472" right="0.70866141732283472" top="0.78740157480314965" bottom="0.78740157480314965" header="0.31496062992125984" footer="0.31496062992125984"/>
  <pageSetup paperSize="9" scale="81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C983-88BB-4DD5-A266-FAF7B2C6640C}">
  <dimension ref="A1:G56"/>
  <sheetViews>
    <sheetView view="pageBreakPreview" topLeftCell="D49" zoomScale="145" zoomScaleNormal="145" zoomScaleSheetLayoutView="145" workbookViewId="0">
      <selection activeCell="K8" sqref="K8"/>
    </sheetView>
  </sheetViews>
  <sheetFormatPr defaultColWidth="8.85546875" defaultRowHeight="15" x14ac:dyDescent="0.25"/>
  <cols>
    <col min="1" max="1" width="14.7109375" style="108" customWidth="1"/>
    <col min="2" max="2" width="55.42578125" style="108" customWidth="1"/>
    <col min="3" max="3" width="0" style="108" hidden="1" customWidth="1"/>
    <col min="4" max="4" width="8.5703125" style="108" customWidth="1"/>
    <col min="5" max="5" width="8.7109375" style="108" customWidth="1"/>
    <col min="6" max="6" width="10.42578125" style="108" customWidth="1"/>
    <col min="7" max="7" width="12.42578125" style="108" customWidth="1"/>
    <col min="8" max="16384" width="8.85546875" style="108"/>
  </cols>
  <sheetData>
    <row r="1" spans="1:7" ht="15" customHeight="1" x14ac:dyDescent="0.25">
      <c r="A1" s="105"/>
      <c r="B1" s="106" t="s">
        <v>1678</v>
      </c>
      <c r="C1" s="107"/>
      <c r="D1" s="392"/>
      <c r="E1" s="393"/>
      <c r="F1" s="396" t="s">
        <v>1679</v>
      </c>
      <c r="G1" s="397"/>
    </row>
    <row r="2" spans="1:7" ht="15" customHeight="1" x14ac:dyDescent="0.25">
      <c r="A2" s="109"/>
      <c r="B2" s="110" t="s">
        <v>1680</v>
      </c>
      <c r="C2" s="111"/>
      <c r="D2" s="394"/>
      <c r="E2" s="395"/>
      <c r="F2" s="398"/>
      <c r="G2" s="399"/>
    </row>
    <row r="3" spans="1:7" ht="17.25" customHeight="1" x14ac:dyDescent="0.25">
      <c r="A3" s="109"/>
      <c r="B3" s="110" t="s">
        <v>1681</v>
      </c>
      <c r="C3" s="111"/>
      <c r="D3" s="113"/>
      <c r="E3" s="112"/>
      <c r="F3" s="114"/>
      <c r="G3" s="115"/>
    </row>
    <row r="4" spans="1:7" ht="15.75" x14ac:dyDescent="0.25">
      <c r="A4" s="116" t="s">
        <v>1682</v>
      </c>
      <c r="B4" s="117"/>
      <c r="C4" s="118"/>
      <c r="D4" s="119"/>
      <c r="E4" s="120"/>
      <c r="F4" s="121"/>
      <c r="G4" s="122"/>
    </row>
    <row r="5" spans="1:7" ht="18" x14ac:dyDescent="0.25">
      <c r="A5" s="123"/>
      <c r="B5" s="400" t="s">
        <v>142</v>
      </c>
      <c r="C5" s="400"/>
      <c r="D5" s="400"/>
      <c r="E5" s="400"/>
      <c r="F5" s="400"/>
      <c r="G5" s="401"/>
    </row>
    <row r="6" spans="1:7" x14ac:dyDescent="0.25">
      <c r="A6" s="124" t="s">
        <v>83</v>
      </c>
      <c r="B6" s="125" t="s">
        <v>1683</v>
      </c>
      <c r="C6" s="125" t="s">
        <v>1684</v>
      </c>
      <c r="D6" s="126" t="s">
        <v>198</v>
      </c>
      <c r="E6" s="127" t="s">
        <v>1685</v>
      </c>
      <c r="F6" s="128" t="s">
        <v>1686</v>
      </c>
      <c r="G6" s="129" t="s">
        <v>1687</v>
      </c>
    </row>
    <row r="7" spans="1:7" s="163" customFormat="1" x14ac:dyDescent="0.25">
      <c r="A7" s="156"/>
      <c r="B7" s="157" t="s">
        <v>1761</v>
      </c>
      <c r="C7" s="158"/>
      <c r="D7" s="159"/>
      <c r="E7" s="160"/>
      <c r="F7" s="161"/>
      <c r="G7" s="162"/>
    </row>
    <row r="8" spans="1:7" x14ac:dyDescent="0.25">
      <c r="A8" s="130" t="s">
        <v>1762</v>
      </c>
      <c r="B8" s="144" t="s">
        <v>1763</v>
      </c>
      <c r="C8" s="132"/>
      <c r="D8" s="133">
        <v>4</v>
      </c>
      <c r="E8" s="134" t="s">
        <v>796</v>
      </c>
      <c r="F8" s="143"/>
      <c r="G8" s="136">
        <f>F8*D8</f>
        <v>0</v>
      </c>
    </row>
    <row r="9" spans="1:7" x14ac:dyDescent="0.25">
      <c r="A9" s="130"/>
      <c r="B9" s="144"/>
      <c r="C9" s="132"/>
      <c r="D9" s="133"/>
      <c r="E9" s="134"/>
      <c r="F9" s="143"/>
      <c r="G9" s="136">
        <f t="shared" ref="G9:G53" si="0">F9*D9</f>
        <v>0</v>
      </c>
    </row>
    <row r="10" spans="1:7" x14ac:dyDescent="0.25">
      <c r="A10" s="130"/>
      <c r="B10" s="164" t="s">
        <v>1764</v>
      </c>
      <c r="C10" s="132"/>
      <c r="D10" s="133"/>
      <c r="E10" s="134"/>
      <c r="F10" s="143"/>
      <c r="G10" s="136">
        <f t="shared" si="0"/>
        <v>0</v>
      </c>
    </row>
    <row r="11" spans="1:7" x14ac:dyDescent="0.25">
      <c r="A11" s="130"/>
      <c r="B11" s="165" t="s">
        <v>1765</v>
      </c>
      <c r="C11" s="132"/>
      <c r="D11" s="133"/>
      <c r="E11" s="134"/>
      <c r="F11" s="143"/>
      <c r="G11" s="136">
        <f t="shared" si="0"/>
        <v>0</v>
      </c>
    </row>
    <row r="12" spans="1:7" x14ac:dyDescent="0.25">
      <c r="A12" s="130" t="s">
        <v>1766</v>
      </c>
      <c r="B12" s="165" t="s">
        <v>1767</v>
      </c>
      <c r="C12" s="132"/>
      <c r="D12" s="133">
        <v>1</v>
      </c>
      <c r="E12" s="134" t="s">
        <v>1695</v>
      </c>
      <c r="F12" s="143"/>
      <c r="G12" s="136">
        <f t="shared" si="0"/>
        <v>0</v>
      </c>
    </row>
    <row r="13" spans="1:7" x14ac:dyDescent="0.25">
      <c r="A13" s="130" t="s">
        <v>1768</v>
      </c>
      <c r="B13" s="165" t="s">
        <v>1769</v>
      </c>
      <c r="C13" s="132"/>
      <c r="D13" s="133">
        <v>1</v>
      </c>
      <c r="E13" s="134" t="s">
        <v>1695</v>
      </c>
      <c r="F13" s="143"/>
      <c r="G13" s="136">
        <f t="shared" si="0"/>
        <v>0</v>
      </c>
    </row>
    <row r="14" spans="1:7" x14ac:dyDescent="0.25">
      <c r="A14" s="130" t="s">
        <v>1770</v>
      </c>
      <c r="B14" s="165" t="s">
        <v>1771</v>
      </c>
      <c r="C14" s="132"/>
      <c r="D14" s="133">
        <v>1</v>
      </c>
      <c r="E14" s="134" t="s">
        <v>1695</v>
      </c>
      <c r="F14" s="143"/>
      <c r="G14" s="136">
        <f t="shared" si="0"/>
        <v>0</v>
      </c>
    </row>
    <row r="15" spans="1:7" x14ac:dyDescent="0.25">
      <c r="A15" s="130" t="s">
        <v>1772</v>
      </c>
      <c r="B15" s="165" t="s">
        <v>1773</v>
      </c>
      <c r="C15" s="132"/>
      <c r="D15" s="133">
        <v>1</v>
      </c>
      <c r="E15" s="134" t="s">
        <v>1695</v>
      </c>
      <c r="F15" s="143"/>
      <c r="G15" s="136">
        <f t="shared" si="0"/>
        <v>0</v>
      </c>
    </row>
    <row r="16" spans="1:7" x14ac:dyDescent="0.25">
      <c r="A16" s="130" t="s">
        <v>1774</v>
      </c>
      <c r="B16" s="165" t="s">
        <v>1775</v>
      </c>
      <c r="C16" s="132"/>
      <c r="D16" s="133">
        <v>2</v>
      </c>
      <c r="E16" s="134" t="s">
        <v>1695</v>
      </c>
      <c r="F16" s="143"/>
      <c r="G16" s="136">
        <f t="shared" si="0"/>
        <v>0</v>
      </c>
    </row>
    <row r="17" spans="1:7" x14ac:dyDescent="0.25">
      <c r="A17" s="130" t="s">
        <v>1776</v>
      </c>
      <c r="B17" s="144" t="s">
        <v>1777</v>
      </c>
      <c r="C17" s="132"/>
      <c r="D17" s="133">
        <v>1</v>
      </c>
      <c r="E17" s="134" t="s">
        <v>1695</v>
      </c>
      <c r="F17" s="143"/>
      <c r="G17" s="136">
        <f t="shared" si="0"/>
        <v>0</v>
      </c>
    </row>
    <row r="18" spans="1:7" x14ac:dyDescent="0.25">
      <c r="A18" s="130" t="s">
        <v>1778</v>
      </c>
      <c r="B18" s="144" t="s">
        <v>1779</v>
      </c>
      <c r="C18" s="132"/>
      <c r="D18" s="133">
        <v>4</v>
      </c>
      <c r="E18" s="134" t="s">
        <v>1695</v>
      </c>
      <c r="F18" s="143"/>
      <c r="G18" s="136">
        <f t="shared" si="0"/>
        <v>0</v>
      </c>
    </row>
    <row r="19" spans="1:7" x14ac:dyDescent="0.25">
      <c r="A19" s="130" t="s">
        <v>1780</v>
      </c>
      <c r="B19" s="144" t="s">
        <v>1781</v>
      </c>
      <c r="C19" s="132"/>
      <c r="D19" s="133">
        <v>1</v>
      </c>
      <c r="E19" s="134" t="s">
        <v>1695</v>
      </c>
      <c r="F19" s="143"/>
      <c r="G19" s="136">
        <f t="shared" si="0"/>
        <v>0</v>
      </c>
    </row>
    <row r="20" spans="1:7" x14ac:dyDescent="0.25">
      <c r="A20" s="130"/>
      <c r="B20" s="144"/>
      <c r="C20" s="132"/>
      <c r="D20" s="133"/>
      <c r="E20" s="134"/>
      <c r="F20" s="143"/>
      <c r="G20" s="136">
        <f t="shared" si="0"/>
        <v>0</v>
      </c>
    </row>
    <row r="21" spans="1:7" x14ac:dyDescent="0.25">
      <c r="A21" s="130"/>
      <c r="B21" s="145" t="s">
        <v>1704</v>
      </c>
      <c r="C21" s="132"/>
      <c r="D21" s="133"/>
      <c r="E21" s="134"/>
      <c r="F21" s="143"/>
      <c r="G21" s="136">
        <f t="shared" si="0"/>
        <v>0</v>
      </c>
    </row>
    <row r="22" spans="1:7" x14ac:dyDescent="0.25">
      <c r="A22" s="130" t="s">
        <v>1782</v>
      </c>
      <c r="B22" s="147" t="s">
        <v>1783</v>
      </c>
      <c r="C22" s="132"/>
      <c r="D22" s="133">
        <v>12</v>
      </c>
      <c r="E22" s="134" t="s">
        <v>1695</v>
      </c>
      <c r="F22" s="143"/>
      <c r="G22" s="136">
        <f t="shared" si="0"/>
        <v>0</v>
      </c>
    </row>
    <row r="23" spans="1:7" x14ac:dyDescent="0.25">
      <c r="A23" s="130" t="s">
        <v>1784</v>
      </c>
      <c r="B23" s="147" t="s">
        <v>1785</v>
      </c>
      <c r="C23" s="132"/>
      <c r="D23" s="133">
        <v>12</v>
      </c>
      <c r="E23" s="134" t="s">
        <v>1695</v>
      </c>
      <c r="F23" s="143"/>
      <c r="G23" s="136">
        <f t="shared" si="0"/>
        <v>0</v>
      </c>
    </row>
    <row r="24" spans="1:7" x14ac:dyDescent="0.25">
      <c r="A24" s="130" t="s">
        <v>1786</v>
      </c>
      <c r="B24" s="144" t="s">
        <v>1787</v>
      </c>
      <c r="C24" s="132"/>
      <c r="D24" s="133">
        <v>1</v>
      </c>
      <c r="E24" s="134" t="s">
        <v>1695</v>
      </c>
      <c r="F24" s="143"/>
      <c r="G24" s="136">
        <f t="shared" si="0"/>
        <v>0</v>
      </c>
    </row>
    <row r="25" spans="1:7" x14ac:dyDescent="0.25">
      <c r="A25" s="130" t="s">
        <v>1788</v>
      </c>
      <c r="B25" s="144" t="s">
        <v>1789</v>
      </c>
      <c r="C25" s="132"/>
      <c r="D25" s="133">
        <v>1</v>
      </c>
      <c r="E25" s="134" t="s">
        <v>1695</v>
      </c>
      <c r="F25" s="143"/>
      <c r="G25" s="136">
        <f t="shared" si="0"/>
        <v>0</v>
      </c>
    </row>
    <row r="26" spans="1:7" x14ac:dyDescent="0.25">
      <c r="A26" s="130"/>
      <c r="B26" s="144"/>
      <c r="C26" s="132"/>
      <c r="D26" s="133"/>
      <c r="E26" s="134"/>
      <c r="F26" s="143"/>
      <c r="G26" s="136">
        <f t="shared" si="0"/>
        <v>0</v>
      </c>
    </row>
    <row r="27" spans="1:7" x14ac:dyDescent="0.25">
      <c r="A27" s="130"/>
      <c r="B27" s="131" t="s">
        <v>1726</v>
      </c>
      <c r="C27" s="132"/>
      <c r="D27" s="133"/>
      <c r="E27" s="146"/>
      <c r="F27" s="143"/>
      <c r="G27" s="136">
        <f t="shared" si="0"/>
        <v>0</v>
      </c>
    </row>
    <row r="28" spans="1:7" x14ac:dyDescent="0.25">
      <c r="A28" s="130"/>
      <c r="B28" s="142" t="s">
        <v>1727</v>
      </c>
      <c r="C28" s="132"/>
      <c r="D28" s="133"/>
      <c r="E28" s="134"/>
      <c r="F28" s="143"/>
      <c r="G28" s="136">
        <f t="shared" si="0"/>
        <v>0</v>
      </c>
    </row>
    <row r="29" spans="1:7" x14ac:dyDescent="0.25">
      <c r="A29" s="130" t="s">
        <v>1790</v>
      </c>
      <c r="B29" s="142" t="s">
        <v>1791</v>
      </c>
      <c r="C29" s="132"/>
      <c r="D29" s="133">
        <v>25</v>
      </c>
      <c r="E29" s="134" t="s">
        <v>333</v>
      </c>
      <c r="F29" s="143"/>
      <c r="G29" s="136">
        <f t="shared" si="0"/>
        <v>0</v>
      </c>
    </row>
    <row r="30" spans="1:7" x14ac:dyDescent="0.25">
      <c r="A30" s="130" t="s">
        <v>1792</v>
      </c>
      <c r="B30" s="142" t="s">
        <v>1793</v>
      </c>
      <c r="C30" s="132"/>
      <c r="D30" s="133">
        <v>90</v>
      </c>
      <c r="E30" s="134" t="s">
        <v>333</v>
      </c>
      <c r="F30" s="143"/>
      <c r="G30" s="136">
        <f t="shared" si="0"/>
        <v>0</v>
      </c>
    </row>
    <row r="31" spans="1:7" x14ac:dyDescent="0.25">
      <c r="A31" s="130" t="s">
        <v>1794</v>
      </c>
      <c r="B31" s="144" t="s">
        <v>1795</v>
      </c>
      <c r="C31" s="132"/>
      <c r="D31" s="133">
        <v>30</v>
      </c>
      <c r="E31" s="134" t="s">
        <v>333</v>
      </c>
      <c r="F31" s="143"/>
      <c r="G31" s="136">
        <f t="shared" si="0"/>
        <v>0</v>
      </c>
    </row>
    <row r="32" spans="1:7" x14ac:dyDescent="0.25">
      <c r="A32" s="130" t="s">
        <v>1728</v>
      </c>
      <c r="B32" s="144" t="s">
        <v>1729</v>
      </c>
      <c r="C32" s="132"/>
      <c r="D32" s="133">
        <v>60</v>
      </c>
      <c r="E32" s="134" t="s">
        <v>333</v>
      </c>
      <c r="F32" s="143"/>
      <c r="G32" s="136">
        <f t="shared" si="0"/>
        <v>0</v>
      </c>
    </row>
    <row r="33" spans="1:7" x14ac:dyDescent="0.25">
      <c r="A33" s="130"/>
      <c r="B33" s="144"/>
      <c r="C33" s="132"/>
      <c r="D33" s="133"/>
      <c r="E33" s="134"/>
      <c r="F33" s="143"/>
      <c r="G33" s="136">
        <f t="shared" si="0"/>
        <v>0</v>
      </c>
    </row>
    <row r="34" spans="1:7" x14ac:dyDescent="0.25">
      <c r="A34" s="130"/>
      <c r="B34" s="145" t="s">
        <v>1732</v>
      </c>
      <c r="C34" s="132"/>
      <c r="D34" s="133"/>
      <c r="E34" s="134"/>
      <c r="F34" s="143"/>
      <c r="G34" s="136">
        <f t="shared" si="0"/>
        <v>0</v>
      </c>
    </row>
    <row r="35" spans="1:7" x14ac:dyDescent="0.25">
      <c r="A35" s="130"/>
      <c r="B35" s="142" t="s">
        <v>1733</v>
      </c>
      <c r="C35" s="132"/>
      <c r="D35" s="133"/>
      <c r="E35" s="134"/>
      <c r="F35" s="143"/>
      <c r="G35" s="136">
        <f t="shared" si="0"/>
        <v>0</v>
      </c>
    </row>
    <row r="36" spans="1:7" x14ac:dyDescent="0.25">
      <c r="A36" s="130" t="s">
        <v>1796</v>
      </c>
      <c r="B36" s="147" t="s">
        <v>1797</v>
      </c>
      <c r="C36" s="132"/>
      <c r="D36" s="133">
        <v>30</v>
      </c>
      <c r="E36" s="134" t="s">
        <v>333</v>
      </c>
      <c r="F36" s="143"/>
      <c r="G36" s="136">
        <f t="shared" si="0"/>
        <v>0</v>
      </c>
    </row>
    <row r="37" spans="1:7" x14ac:dyDescent="0.25">
      <c r="A37" s="130" t="s">
        <v>1796</v>
      </c>
      <c r="B37" s="147" t="s">
        <v>1798</v>
      </c>
      <c r="C37" s="132"/>
      <c r="D37" s="133">
        <v>100</v>
      </c>
      <c r="E37" s="134" t="s">
        <v>333</v>
      </c>
      <c r="F37" s="143"/>
      <c r="G37" s="136">
        <f t="shared" si="0"/>
        <v>0</v>
      </c>
    </row>
    <row r="38" spans="1:7" x14ac:dyDescent="0.25">
      <c r="A38" s="130" t="s">
        <v>1734</v>
      </c>
      <c r="B38" s="147" t="s">
        <v>1799</v>
      </c>
      <c r="C38" s="132"/>
      <c r="D38" s="133">
        <v>35</v>
      </c>
      <c r="E38" s="134" t="s">
        <v>333</v>
      </c>
      <c r="F38" s="143"/>
      <c r="G38" s="136">
        <f t="shared" si="0"/>
        <v>0</v>
      </c>
    </row>
    <row r="39" spans="1:7" x14ac:dyDescent="0.25">
      <c r="A39" s="130" t="s">
        <v>1734</v>
      </c>
      <c r="B39" s="144" t="s">
        <v>1735</v>
      </c>
      <c r="C39" s="132"/>
      <c r="D39" s="133">
        <v>65</v>
      </c>
      <c r="E39" s="134" t="s">
        <v>333</v>
      </c>
      <c r="F39" s="143"/>
      <c r="G39" s="136">
        <f t="shared" si="0"/>
        <v>0</v>
      </c>
    </row>
    <row r="40" spans="1:7" x14ac:dyDescent="0.25">
      <c r="A40" s="130"/>
      <c r="B40" s="144"/>
      <c r="C40" s="132"/>
      <c r="D40" s="133"/>
      <c r="E40" s="134"/>
      <c r="F40" s="143"/>
      <c r="G40" s="136">
        <f t="shared" si="0"/>
        <v>0</v>
      </c>
    </row>
    <row r="41" spans="1:7" x14ac:dyDescent="0.25">
      <c r="A41" s="130"/>
      <c r="B41" s="145" t="s">
        <v>1737</v>
      </c>
      <c r="C41" s="132"/>
      <c r="D41" s="133"/>
      <c r="E41" s="134"/>
      <c r="F41" s="143"/>
      <c r="G41" s="136">
        <f t="shared" si="0"/>
        <v>0</v>
      </c>
    </row>
    <row r="42" spans="1:7" x14ac:dyDescent="0.25">
      <c r="A42" s="130" t="s">
        <v>1800</v>
      </c>
      <c r="B42" s="142" t="s">
        <v>1738</v>
      </c>
      <c r="C42" s="132"/>
      <c r="D42" s="133"/>
      <c r="E42" s="134"/>
      <c r="F42" s="143"/>
      <c r="G42" s="136">
        <f t="shared" si="0"/>
        <v>0</v>
      </c>
    </row>
    <row r="43" spans="1:7" x14ac:dyDescent="0.25">
      <c r="A43" s="130" t="str">
        <f>'Zdroj tepla'!A42</f>
        <v>13211V</v>
      </c>
      <c r="B43" s="142" t="s">
        <v>1740</v>
      </c>
      <c r="C43" s="132"/>
      <c r="D43" s="133">
        <v>10</v>
      </c>
      <c r="E43" s="134" t="s">
        <v>333</v>
      </c>
      <c r="F43" s="143"/>
      <c r="G43" s="136">
        <f t="shared" si="0"/>
        <v>0</v>
      </c>
    </row>
    <row r="44" spans="1:7" x14ac:dyDescent="0.25">
      <c r="A44" s="130" t="str">
        <f>'Zdroj tepla'!A43</f>
        <v>733001V</v>
      </c>
      <c r="B44" s="142" t="s">
        <v>1742</v>
      </c>
      <c r="C44" s="132"/>
      <c r="D44" s="133">
        <v>30</v>
      </c>
      <c r="E44" s="134" t="s">
        <v>1695</v>
      </c>
      <c r="F44" s="143"/>
      <c r="G44" s="136">
        <f t="shared" si="0"/>
        <v>0</v>
      </c>
    </row>
    <row r="45" spans="1:7" x14ac:dyDescent="0.25">
      <c r="A45" s="130"/>
      <c r="B45" s="142"/>
      <c r="C45" s="132"/>
      <c r="D45" s="133"/>
      <c r="E45" s="134"/>
      <c r="F45" s="143"/>
      <c r="G45" s="136">
        <f t="shared" si="0"/>
        <v>0</v>
      </c>
    </row>
    <row r="46" spans="1:7" x14ac:dyDescent="0.25">
      <c r="A46" s="130"/>
      <c r="B46" s="145" t="s">
        <v>1743</v>
      </c>
      <c r="C46" s="132"/>
      <c r="D46" s="133"/>
      <c r="E46" s="134"/>
      <c r="F46" s="143"/>
      <c r="G46" s="136">
        <f t="shared" si="0"/>
        <v>0</v>
      </c>
    </row>
    <row r="47" spans="1:7" x14ac:dyDescent="0.25">
      <c r="A47" s="130" t="s">
        <v>1744</v>
      </c>
      <c r="B47" s="142" t="s">
        <v>1745</v>
      </c>
      <c r="C47" s="132"/>
      <c r="D47" s="133">
        <v>1</v>
      </c>
      <c r="E47" s="134" t="s">
        <v>803</v>
      </c>
      <c r="F47" s="143"/>
      <c r="G47" s="136">
        <f t="shared" si="0"/>
        <v>0</v>
      </c>
    </row>
    <row r="48" spans="1:7" x14ac:dyDescent="0.25">
      <c r="A48" s="130" t="s">
        <v>1746</v>
      </c>
      <c r="B48" s="142" t="s">
        <v>1747</v>
      </c>
      <c r="C48" s="132"/>
      <c r="D48" s="133">
        <f>SUM(D29:D32)</f>
        <v>205</v>
      </c>
      <c r="E48" s="134" t="s">
        <v>333</v>
      </c>
      <c r="F48" s="143"/>
      <c r="G48" s="136">
        <f t="shared" si="0"/>
        <v>0</v>
      </c>
    </row>
    <row r="49" spans="1:7" x14ac:dyDescent="0.25">
      <c r="A49" s="130" t="s">
        <v>1748</v>
      </c>
      <c r="B49" s="142" t="s">
        <v>1749</v>
      </c>
      <c r="C49" s="132"/>
      <c r="D49" s="133">
        <v>24</v>
      </c>
      <c r="E49" s="134" t="s">
        <v>1750</v>
      </c>
      <c r="F49" s="143"/>
      <c r="G49" s="136">
        <f t="shared" si="0"/>
        <v>0</v>
      </c>
    </row>
    <row r="50" spans="1:7" x14ac:dyDescent="0.25">
      <c r="A50" s="130" t="s">
        <v>1751</v>
      </c>
      <c r="B50" s="142" t="s">
        <v>1752</v>
      </c>
      <c r="C50" s="132"/>
      <c r="D50" s="133">
        <v>8</v>
      </c>
      <c r="E50" s="134" t="s">
        <v>1750</v>
      </c>
      <c r="F50" s="143"/>
      <c r="G50" s="136">
        <f t="shared" si="0"/>
        <v>0</v>
      </c>
    </row>
    <row r="51" spans="1:7" x14ac:dyDescent="0.25">
      <c r="A51" s="130" t="s">
        <v>1753</v>
      </c>
      <c r="B51" s="142" t="s">
        <v>1754</v>
      </c>
      <c r="C51" s="132"/>
      <c r="D51" s="133">
        <v>8</v>
      </c>
      <c r="E51" s="134" t="s">
        <v>1750</v>
      </c>
      <c r="F51" s="143"/>
      <c r="G51" s="136">
        <f t="shared" si="0"/>
        <v>0</v>
      </c>
    </row>
    <row r="52" spans="1:7" x14ac:dyDescent="0.25">
      <c r="A52" s="130" t="s">
        <v>1755</v>
      </c>
      <c r="B52" s="142" t="s">
        <v>1756</v>
      </c>
      <c r="C52" s="132"/>
      <c r="D52" s="133">
        <v>1</v>
      </c>
      <c r="E52" s="134" t="s">
        <v>1757</v>
      </c>
      <c r="F52" s="143"/>
      <c r="G52" s="136">
        <f t="shared" si="0"/>
        <v>0</v>
      </c>
    </row>
    <row r="53" spans="1:7" x14ac:dyDescent="0.25">
      <c r="A53" s="130" t="s">
        <v>1758</v>
      </c>
      <c r="B53" s="142" t="s">
        <v>1759</v>
      </c>
      <c r="C53" s="132"/>
      <c r="D53" s="148">
        <v>1.3</v>
      </c>
      <c r="E53" s="134" t="s">
        <v>63</v>
      </c>
      <c r="F53" s="143"/>
      <c r="G53" s="136">
        <f t="shared" si="0"/>
        <v>0</v>
      </c>
    </row>
    <row r="54" spans="1:7" x14ac:dyDescent="0.25">
      <c r="A54" s="130"/>
      <c r="B54" s="144"/>
      <c r="C54" s="132"/>
      <c r="D54" s="133"/>
      <c r="E54" s="134"/>
      <c r="F54" s="135"/>
      <c r="G54" s="136"/>
    </row>
    <row r="55" spans="1:7" x14ac:dyDescent="0.25">
      <c r="A55" s="130"/>
      <c r="B55" s="142"/>
      <c r="C55" s="132"/>
      <c r="D55" s="133"/>
      <c r="E55" s="134"/>
      <c r="F55" s="135"/>
      <c r="G55" s="136"/>
    </row>
    <row r="56" spans="1:7" ht="16.5" thickBot="1" x14ac:dyDescent="0.3">
      <c r="A56" s="149"/>
      <c r="B56" s="150" t="s">
        <v>1760</v>
      </c>
      <c r="C56" s="151"/>
      <c r="D56" s="152"/>
      <c r="E56" s="153"/>
      <c r="F56" s="154"/>
      <c r="G56" s="155">
        <f>SUM(G7:G55)</f>
        <v>0</v>
      </c>
    </row>
  </sheetData>
  <mergeCells count="3">
    <mergeCell ref="D1:E2"/>
    <mergeCell ref="F1:G2"/>
    <mergeCell ref="B5:G5"/>
  </mergeCells>
  <pageMargins left="0.7" right="0.7" top="0.78740157499999996" bottom="0.78740157499999996" header="0.3" footer="0.3"/>
  <pageSetup paperSize="9" scale="8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F4F0-B41B-4C07-9C66-45DF6CF5E12F}">
  <sheetPr>
    <pageSetUpPr fitToPage="1"/>
  </sheetPr>
  <dimension ref="B2:BM372"/>
  <sheetViews>
    <sheetView showGridLines="0" tabSelected="1" topLeftCell="A135" workbookViewId="0">
      <selection activeCell="F150" sqref="F150"/>
    </sheetView>
  </sheetViews>
  <sheetFormatPr defaultColWidth="8.85546875" defaultRowHeight="11.25" x14ac:dyDescent="0.2"/>
  <cols>
    <col min="1" max="1" width="6.42578125" style="166" customWidth="1"/>
    <col min="2" max="2" width="0.85546875" style="166" customWidth="1"/>
    <col min="3" max="4" width="3.28515625" style="166" customWidth="1"/>
    <col min="5" max="5" width="13.28515625" style="166" customWidth="1"/>
    <col min="6" max="6" width="39.5703125" style="166" customWidth="1"/>
    <col min="7" max="7" width="5.7109375" style="166" customWidth="1"/>
    <col min="8" max="8" width="10.85546875" style="166" customWidth="1"/>
    <col min="9" max="9" width="12.28515625" style="166" customWidth="1"/>
    <col min="10" max="10" width="17.28515625" style="166" customWidth="1"/>
    <col min="11" max="11" width="17.28515625" style="166" hidden="1" customWidth="1"/>
    <col min="12" max="12" width="7.28515625" style="166" customWidth="1"/>
    <col min="13" max="13" width="8.42578125" style="166" hidden="1" customWidth="1"/>
    <col min="14" max="14" width="8.85546875" style="166"/>
    <col min="15" max="20" width="11" style="166" hidden="1" customWidth="1"/>
    <col min="21" max="21" width="12.7109375" style="166" hidden="1" customWidth="1"/>
    <col min="22" max="22" width="9.5703125" style="166" customWidth="1"/>
    <col min="23" max="23" width="12.7109375" style="166" customWidth="1"/>
    <col min="24" max="24" width="9.5703125" style="166" customWidth="1"/>
    <col min="25" max="25" width="11.7109375" style="166" customWidth="1"/>
    <col min="26" max="26" width="8.5703125" style="166" customWidth="1"/>
    <col min="27" max="27" width="11.7109375" style="166" customWidth="1"/>
    <col min="28" max="28" width="12.7109375" style="166" customWidth="1"/>
    <col min="29" max="29" width="8.5703125" style="166" customWidth="1"/>
    <col min="30" max="30" width="11.7109375" style="166" customWidth="1"/>
    <col min="31" max="31" width="12.7109375" style="166" customWidth="1"/>
    <col min="32" max="16384" width="8.85546875" style="166"/>
  </cols>
  <sheetData>
    <row r="2" spans="2:46" ht="36.950000000000003" customHeight="1" x14ac:dyDescent="0.2">
      <c r="L2" s="404" t="s">
        <v>1801</v>
      </c>
      <c r="M2" s="405"/>
      <c r="N2" s="405"/>
      <c r="O2" s="405"/>
      <c r="P2" s="405"/>
      <c r="Q2" s="405"/>
      <c r="R2" s="405"/>
      <c r="S2" s="405"/>
      <c r="T2" s="405"/>
      <c r="U2" s="405"/>
      <c r="V2" s="405"/>
      <c r="AT2" s="167" t="s">
        <v>1802</v>
      </c>
    </row>
    <row r="3" spans="2:46" ht="6.95" customHeight="1" x14ac:dyDescent="0.2">
      <c r="B3" s="168"/>
      <c r="C3" s="169"/>
      <c r="D3" s="169"/>
      <c r="E3" s="169"/>
      <c r="F3" s="169"/>
      <c r="G3" s="169"/>
      <c r="H3" s="169"/>
      <c r="I3" s="169"/>
      <c r="J3" s="169"/>
      <c r="K3" s="169"/>
      <c r="L3" s="170"/>
      <c r="AT3" s="167" t="s">
        <v>227</v>
      </c>
    </row>
    <row r="4" spans="2:46" ht="24.95" customHeight="1" x14ac:dyDescent="0.2">
      <c r="B4" s="170"/>
      <c r="D4" s="171" t="s">
        <v>1803</v>
      </c>
      <c r="L4" s="170"/>
      <c r="M4" s="172" t="s">
        <v>1804</v>
      </c>
      <c r="AT4" s="167" t="s">
        <v>1805</v>
      </c>
    </row>
    <row r="5" spans="2:46" ht="6.95" customHeight="1" x14ac:dyDescent="0.2">
      <c r="B5" s="170"/>
      <c r="L5" s="170"/>
    </row>
    <row r="6" spans="2:46" s="173" customFormat="1" ht="12" customHeight="1" x14ac:dyDescent="0.25">
      <c r="B6" s="174"/>
      <c r="D6" s="175" t="s">
        <v>1806</v>
      </c>
      <c r="L6" s="174"/>
    </row>
    <row r="7" spans="2:46" s="173" customFormat="1" ht="30" customHeight="1" x14ac:dyDescent="0.25">
      <c r="B7" s="174"/>
      <c r="E7" s="402" t="s">
        <v>1807</v>
      </c>
      <c r="F7" s="403"/>
      <c r="G7" s="403"/>
      <c r="H7" s="403"/>
      <c r="L7" s="174"/>
    </row>
    <row r="8" spans="2:46" s="173" customFormat="1" x14ac:dyDescent="0.25">
      <c r="B8" s="174"/>
      <c r="L8" s="174"/>
    </row>
    <row r="9" spans="2:46" s="173" customFormat="1" ht="12" customHeight="1" x14ac:dyDescent="0.25">
      <c r="B9" s="174"/>
      <c r="D9" s="175" t="s">
        <v>1808</v>
      </c>
      <c r="F9" s="176" t="s">
        <v>4</v>
      </c>
      <c r="I9" s="175" t="s">
        <v>1809</v>
      </c>
      <c r="J9" s="176" t="s">
        <v>4</v>
      </c>
      <c r="L9" s="174"/>
    </row>
    <row r="10" spans="2:46" s="173" customFormat="1" ht="12" customHeight="1" x14ac:dyDescent="0.25">
      <c r="B10" s="174"/>
      <c r="D10" s="175" t="s">
        <v>1810</v>
      </c>
      <c r="F10" s="176" t="s">
        <v>81</v>
      </c>
      <c r="I10" s="175" t="s">
        <v>15</v>
      </c>
      <c r="J10" s="177" t="s">
        <v>2554</v>
      </c>
      <c r="L10" s="174"/>
    </row>
    <row r="11" spans="2:46" s="173" customFormat="1" ht="10.9" customHeight="1" x14ac:dyDescent="0.25">
      <c r="B11" s="174"/>
      <c r="L11" s="174"/>
    </row>
    <row r="12" spans="2:46" s="173" customFormat="1" ht="12" customHeight="1" x14ac:dyDescent="0.25">
      <c r="B12" s="174"/>
      <c r="D12" s="175" t="s">
        <v>1811</v>
      </c>
      <c r="I12" s="175" t="s">
        <v>1812</v>
      </c>
      <c r="J12" s="176" t="s">
        <v>4</v>
      </c>
      <c r="L12" s="174"/>
    </row>
    <row r="13" spans="2:46" s="173" customFormat="1" ht="18" customHeight="1" x14ac:dyDescent="0.25">
      <c r="B13" s="174"/>
      <c r="E13" s="176" t="s">
        <v>81</v>
      </c>
      <c r="I13" s="175" t="s">
        <v>1813</v>
      </c>
      <c r="J13" s="176" t="s">
        <v>4</v>
      </c>
      <c r="L13" s="174"/>
    </row>
    <row r="14" spans="2:46" s="173" customFormat="1" ht="6.95" customHeight="1" x14ac:dyDescent="0.25">
      <c r="B14" s="174"/>
      <c r="L14" s="174"/>
    </row>
    <row r="15" spans="2:46" s="173" customFormat="1" ht="12" customHeight="1" x14ac:dyDescent="0.25">
      <c r="B15" s="174"/>
      <c r="D15" s="175" t="s">
        <v>1814</v>
      </c>
      <c r="I15" s="175" t="s">
        <v>1812</v>
      </c>
      <c r="J15" s="178" t="s">
        <v>2555</v>
      </c>
      <c r="L15" s="174"/>
    </row>
    <row r="16" spans="2:46" s="173" customFormat="1" ht="18" customHeight="1" x14ac:dyDescent="0.25">
      <c r="B16" s="174"/>
      <c r="E16" s="406" t="s">
        <v>2555</v>
      </c>
      <c r="F16" s="407"/>
      <c r="G16" s="407"/>
      <c r="H16" s="407"/>
      <c r="I16" s="175" t="s">
        <v>1813</v>
      </c>
      <c r="J16" s="178" t="s">
        <v>2555</v>
      </c>
      <c r="L16" s="174"/>
    </row>
    <row r="17" spans="2:12" s="173" customFormat="1" ht="6.95" customHeight="1" x14ac:dyDescent="0.25">
      <c r="B17" s="174"/>
      <c r="L17" s="174"/>
    </row>
    <row r="18" spans="2:12" s="173" customFormat="1" ht="12" customHeight="1" x14ac:dyDescent="0.25">
      <c r="B18" s="174"/>
      <c r="D18" s="175" t="s">
        <v>6</v>
      </c>
      <c r="I18" s="175" t="s">
        <v>1812</v>
      </c>
      <c r="J18" s="176" t="s">
        <v>4</v>
      </c>
      <c r="L18" s="174"/>
    </row>
    <row r="19" spans="2:12" s="173" customFormat="1" ht="18" customHeight="1" x14ac:dyDescent="0.25">
      <c r="B19" s="174"/>
      <c r="E19" s="176" t="s">
        <v>81</v>
      </c>
      <c r="I19" s="175" t="s">
        <v>1813</v>
      </c>
      <c r="J19" s="176" t="s">
        <v>4</v>
      </c>
      <c r="L19" s="174"/>
    </row>
    <row r="20" spans="2:12" s="173" customFormat="1" ht="6.95" customHeight="1" x14ac:dyDescent="0.25">
      <c r="B20" s="174"/>
      <c r="L20" s="174"/>
    </row>
    <row r="21" spans="2:12" s="173" customFormat="1" ht="12" customHeight="1" x14ac:dyDescent="0.25">
      <c r="B21" s="174"/>
      <c r="D21" s="175" t="s">
        <v>1815</v>
      </c>
      <c r="I21" s="175" t="s">
        <v>1812</v>
      </c>
      <c r="J21" s="176" t="s">
        <v>4</v>
      </c>
      <c r="L21" s="174"/>
    </row>
    <row r="22" spans="2:12" s="173" customFormat="1" ht="18" customHeight="1" x14ac:dyDescent="0.25">
      <c r="B22" s="174"/>
      <c r="E22" s="176" t="s">
        <v>81</v>
      </c>
      <c r="I22" s="175" t="s">
        <v>1813</v>
      </c>
      <c r="J22" s="176" t="s">
        <v>4</v>
      </c>
      <c r="L22" s="174"/>
    </row>
    <row r="23" spans="2:12" s="173" customFormat="1" ht="6.95" customHeight="1" x14ac:dyDescent="0.25">
      <c r="B23" s="174"/>
      <c r="L23" s="174"/>
    </row>
    <row r="24" spans="2:12" s="173" customFormat="1" ht="12" customHeight="1" x14ac:dyDescent="0.25">
      <c r="B24" s="174"/>
      <c r="D24" s="175" t="s">
        <v>57</v>
      </c>
      <c r="L24" s="174"/>
    </row>
    <row r="25" spans="2:12" s="179" customFormat="1" ht="16.5" customHeight="1" x14ac:dyDescent="0.25">
      <c r="B25" s="180"/>
      <c r="E25" s="408" t="s">
        <v>4</v>
      </c>
      <c r="F25" s="408"/>
      <c r="G25" s="408"/>
      <c r="H25" s="408"/>
      <c r="L25" s="180"/>
    </row>
    <row r="26" spans="2:12" s="173" customFormat="1" ht="6.95" customHeight="1" x14ac:dyDescent="0.25">
      <c r="B26" s="174"/>
      <c r="L26" s="174"/>
    </row>
    <row r="27" spans="2:12" s="173" customFormat="1" ht="6.95" customHeight="1" x14ac:dyDescent="0.25">
      <c r="B27" s="174"/>
      <c r="D27" s="182"/>
      <c r="E27" s="182"/>
      <c r="F27" s="182"/>
      <c r="G27" s="182"/>
      <c r="H27" s="182"/>
      <c r="I27" s="182"/>
      <c r="J27" s="182"/>
      <c r="K27" s="182"/>
      <c r="L27" s="174"/>
    </row>
    <row r="28" spans="2:12" s="173" customFormat="1" ht="25.35" customHeight="1" x14ac:dyDescent="0.25">
      <c r="B28" s="174"/>
      <c r="D28" s="183" t="s">
        <v>1816</v>
      </c>
      <c r="J28" s="184">
        <f>ROUND(J131, 2)</f>
        <v>0</v>
      </c>
      <c r="L28" s="174"/>
    </row>
    <row r="29" spans="2:12" s="173" customFormat="1" ht="6.95" customHeight="1" x14ac:dyDescent="0.25">
      <c r="B29" s="174"/>
      <c r="D29" s="182"/>
      <c r="E29" s="182"/>
      <c r="F29" s="182"/>
      <c r="G29" s="182"/>
      <c r="H29" s="182"/>
      <c r="I29" s="182"/>
      <c r="J29" s="182"/>
      <c r="K29" s="182"/>
      <c r="L29" s="174"/>
    </row>
    <row r="30" spans="2:12" s="173" customFormat="1" ht="14.45" customHeight="1" x14ac:dyDescent="0.25">
      <c r="B30" s="174"/>
      <c r="F30" s="185" t="s">
        <v>1817</v>
      </c>
      <c r="I30" s="185" t="s">
        <v>1818</v>
      </c>
      <c r="J30" s="185" t="s">
        <v>1819</v>
      </c>
      <c r="L30" s="174"/>
    </row>
    <row r="31" spans="2:12" s="173" customFormat="1" ht="14.45" customHeight="1" x14ac:dyDescent="0.25">
      <c r="B31" s="174"/>
      <c r="D31" s="186" t="s">
        <v>1820</v>
      </c>
      <c r="E31" s="175" t="s">
        <v>1821</v>
      </c>
      <c r="F31" s="187">
        <f>ROUND((SUM(BE131:BE371)),  2)</f>
        <v>0</v>
      </c>
      <c r="I31" s="188">
        <v>0.21</v>
      </c>
      <c r="J31" s="187">
        <f>ROUND(((SUM(BE131:BE371))*I31),  2)</f>
        <v>0</v>
      </c>
      <c r="L31" s="174"/>
    </row>
    <row r="32" spans="2:12" s="173" customFormat="1" ht="14.45" customHeight="1" x14ac:dyDescent="0.25">
      <c r="B32" s="174"/>
      <c r="E32" s="175" t="s">
        <v>1822</v>
      </c>
      <c r="F32" s="187">
        <f>ROUND((SUM(BF131:BF371)),  2)</f>
        <v>0</v>
      </c>
      <c r="I32" s="188">
        <v>0.15</v>
      </c>
      <c r="J32" s="187">
        <f>ROUND(((SUM(BF131:BF371))*I32),  2)</f>
        <v>0</v>
      </c>
      <c r="L32" s="174"/>
    </row>
    <row r="33" spans="2:12" s="173" customFormat="1" ht="14.45" hidden="1" customHeight="1" x14ac:dyDescent="0.25">
      <c r="B33" s="174"/>
      <c r="E33" s="175" t="s">
        <v>1823</v>
      </c>
      <c r="F33" s="187">
        <f>ROUND((SUM(BG131:BG371)),  2)</f>
        <v>0</v>
      </c>
      <c r="I33" s="188">
        <v>0.21</v>
      </c>
      <c r="J33" s="187">
        <f>0</f>
        <v>0</v>
      </c>
      <c r="L33" s="174"/>
    </row>
    <row r="34" spans="2:12" s="173" customFormat="1" ht="14.45" hidden="1" customHeight="1" x14ac:dyDescent="0.25">
      <c r="B34" s="174"/>
      <c r="E34" s="175" t="s">
        <v>1824</v>
      </c>
      <c r="F34" s="187">
        <f>ROUND((SUM(BH131:BH371)),  2)</f>
        <v>0</v>
      </c>
      <c r="I34" s="188">
        <v>0.15</v>
      </c>
      <c r="J34" s="187">
        <f>0</f>
        <v>0</v>
      </c>
      <c r="L34" s="174"/>
    </row>
    <row r="35" spans="2:12" s="173" customFormat="1" ht="14.45" hidden="1" customHeight="1" x14ac:dyDescent="0.25">
      <c r="B35" s="174"/>
      <c r="E35" s="175" t="s">
        <v>1825</v>
      </c>
      <c r="F35" s="187">
        <f>ROUND((SUM(BI131:BI371)),  2)</f>
        <v>0</v>
      </c>
      <c r="I35" s="188">
        <v>0</v>
      </c>
      <c r="J35" s="187">
        <f>0</f>
        <v>0</v>
      </c>
      <c r="L35" s="174"/>
    </row>
    <row r="36" spans="2:12" s="173" customFormat="1" ht="6.95" customHeight="1" x14ac:dyDescent="0.25">
      <c r="B36" s="174"/>
      <c r="L36" s="174"/>
    </row>
    <row r="37" spans="2:12" s="173" customFormat="1" ht="25.35" customHeight="1" x14ac:dyDescent="0.25">
      <c r="B37" s="174"/>
      <c r="C37" s="189"/>
      <c r="D37" s="190" t="s">
        <v>1826</v>
      </c>
      <c r="E37" s="191"/>
      <c r="F37" s="191"/>
      <c r="G37" s="192" t="s">
        <v>1827</v>
      </c>
      <c r="H37" s="193" t="s">
        <v>1828</v>
      </c>
      <c r="I37" s="191"/>
      <c r="J37" s="194">
        <f>SUM(J28:J35)</f>
        <v>0</v>
      </c>
      <c r="K37" s="195"/>
      <c r="L37" s="174"/>
    </row>
    <row r="38" spans="2:12" s="173" customFormat="1" ht="14.45" customHeight="1" x14ac:dyDescent="0.25">
      <c r="B38" s="174"/>
      <c r="L38" s="174"/>
    </row>
    <row r="39" spans="2:12" ht="14.45" customHeight="1" x14ac:dyDescent="0.2">
      <c r="B39" s="170"/>
      <c r="L39" s="170"/>
    </row>
    <row r="40" spans="2:12" ht="14.45" customHeight="1" x14ac:dyDescent="0.2">
      <c r="B40" s="170"/>
      <c r="L40" s="170"/>
    </row>
    <row r="41" spans="2:12" ht="14.45" customHeight="1" x14ac:dyDescent="0.2">
      <c r="B41" s="170"/>
      <c r="L41" s="170"/>
    </row>
    <row r="42" spans="2:12" ht="14.45" customHeight="1" x14ac:dyDescent="0.2">
      <c r="B42" s="170"/>
      <c r="L42" s="170"/>
    </row>
    <row r="43" spans="2:12" ht="14.45" customHeight="1" x14ac:dyDescent="0.2">
      <c r="B43" s="170"/>
      <c r="L43" s="170"/>
    </row>
    <row r="44" spans="2:12" ht="14.45" customHeight="1" x14ac:dyDescent="0.2">
      <c r="B44" s="170"/>
      <c r="L44" s="170"/>
    </row>
    <row r="45" spans="2:12" ht="14.45" customHeight="1" x14ac:dyDescent="0.2">
      <c r="B45" s="170"/>
      <c r="L45" s="170"/>
    </row>
    <row r="46" spans="2:12" ht="14.45" customHeight="1" x14ac:dyDescent="0.2">
      <c r="B46" s="170"/>
      <c r="L46" s="170"/>
    </row>
    <row r="47" spans="2:12" ht="14.45" customHeight="1" x14ac:dyDescent="0.2">
      <c r="B47" s="170"/>
      <c r="L47" s="170"/>
    </row>
    <row r="48" spans="2:12" ht="14.45" customHeight="1" x14ac:dyDescent="0.2">
      <c r="B48" s="170"/>
      <c r="L48" s="170"/>
    </row>
    <row r="49" spans="2:12" ht="14.45" customHeight="1" x14ac:dyDescent="0.2">
      <c r="B49" s="170"/>
      <c r="L49" s="170"/>
    </row>
    <row r="50" spans="2:12" s="173" customFormat="1" ht="14.45" customHeight="1" x14ac:dyDescent="0.25">
      <c r="B50" s="174"/>
      <c r="D50" s="196" t="s">
        <v>53</v>
      </c>
      <c r="E50" s="197"/>
      <c r="F50" s="197"/>
      <c r="G50" s="196" t="s">
        <v>1829</v>
      </c>
      <c r="H50" s="197"/>
      <c r="I50" s="197"/>
      <c r="J50" s="197"/>
      <c r="K50" s="197"/>
      <c r="L50" s="174"/>
    </row>
    <row r="51" spans="2:12" x14ac:dyDescent="0.2">
      <c r="B51" s="170"/>
      <c r="L51" s="170"/>
    </row>
    <row r="52" spans="2:12" x14ac:dyDescent="0.2">
      <c r="B52" s="170"/>
      <c r="L52" s="170"/>
    </row>
    <row r="53" spans="2:12" x14ac:dyDescent="0.2">
      <c r="B53" s="170"/>
      <c r="L53" s="170"/>
    </row>
    <row r="54" spans="2:12" x14ac:dyDescent="0.2">
      <c r="B54" s="170"/>
      <c r="L54" s="170"/>
    </row>
    <row r="55" spans="2:12" x14ac:dyDescent="0.2">
      <c r="B55" s="170"/>
      <c r="L55" s="170"/>
    </row>
    <row r="56" spans="2:12" x14ac:dyDescent="0.2">
      <c r="B56" s="170"/>
      <c r="L56" s="170"/>
    </row>
    <row r="57" spans="2:12" x14ac:dyDescent="0.2">
      <c r="B57" s="170"/>
      <c r="L57" s="170"/>
    </row>
    <row r="58" spans="2:12" x14ac:dyDescent="0.2">
      <c r="B58" s="170"/>
      <c r="L58" s="170"/>
    </row>
    <row r="59" spans="2:12" x14ac:dyDescent="0.2">
      <c r="B59" s="170"/>
      <c r="L59" s="170"/>
    </row>
    <row r="60" spans="2:12" x14ac:dyDescent="0.2">
      <c r="B60" s="170"/>
      <c r="L60" s="170"/>
    </row>
    <row r="61" spans="2:12" s="173" customFormat="1" ht="12.75" x14ac:dyDescent="0.25">
      <c r="B61" s="174"/>
      <c r="D61" s="198" t="s">
        <v>1830</v>
      </c>
      <c r="E61" s="199"/>
      <c r="F61" s="200" t="s">
        <v>1831</v>
      </c>
      <c r="G61" s="198" t="s">
        <v>1830</v>
      </c>
      <c r="H61" s="199"/>
      <c r="I61" s="199"/>
      <c r="J61" s="201" t="s">
        <v>1831</v>
      </c>
      <c r="K61" s="199"/>
      <c r="L61" s="174"/>
    </row>
    <row r="62" spans="2:12" x14ac:dyDescent="0.2">
      <c r="B62" s="170"/>
      <c r="L62" s="170"/>
    </row>
    <row r="63" spans="2:12" x14ac:dyDescent="0.2">
      <c r="B63" s="170"/>
      <c r="L63" s="170"/>
    </row>
    <row r="64" spans="2:12" x14ac:dyDescent="0.2">
      <c r="B64" s="170"/>
      <c r="L64" s="170"/>
    </row>
    <row r="65" spans="2:12" s="173" customFormat="1" ht="12.75" x14ac:dyDescent="0.25">
      <c r="B65" s="174"/>
      <c r="D65" s="196" t="s">
        <v>1832</v>
      </c>
      <c r="E65" s="197"/>
      <c r="F65" s="197"/>
      <c r="G65" s="196" t="s">
        <v>1833</v>
      </c>
      <c r="H65" s="197"/>
      <c r="I65" s="197"/>
      <c r="J65" s="197"/>
      <c r="K65" s="197"/>
      <c r="L65" s="174"/>
    </row>
    <row r="66" spans="2:12" x14ac:dyDescent="0.2">
      <c r="B66" s="170"/>
      <c r="L66" s="170"/>
    </row>
    <row r="67" spans="2:12" x14ac:dyDescent="0.2">
      <c r="B67" s="170"/>
      <c r="L67" s="170"/>
    </row>
    <row r="68" spans="2:12" x14ac:dyDescent="0.2">
      <c r="B68" s="170"/>
      <c r="L68" s="170"/>
    </row>
    <row r="69" spans="2:12" x14ac:dyDescent="0.2">
      <c r="B69" s="170"/>
      <c r="L69" s="170"/>
    </row>
    <row r="70" spans="2:12" x14ac:dyDescent="0.2">
      <c r="B70" s="170"/>
      <c r="L70" s="170"/>
    </row>
    <row r="71" spans="2:12" x14ac:dyDescent="0.2">
      <c r="B71" s="170"/>
      <c r="L71" s="170"/>
    </row>
    <row r="72" spans="2:12" x14ac:dyDescent="0.2">
      <c r="B72" s="170"/>
      <c r="L72" s="170"/>
    </row>
    <row r="73" spans="2:12" x14ac:dyDescent="0.2">
      <c r="B73" s="170"/>
      <c r="L73" s="170"/>
    </row>
    <row r="74" spans="2:12" x14ac:dyDescent="0.2">
      <c r="B74" s="170"/>
      <c r="L74" s="170"/>
    </row>
    <row r="75" spans="2:12" x14ac:dyDescent="0.2">
      <c r="B75" s="170"/>
      <c r="L75" s="170"/>
    </row>
    <row r="76" spans="2:12" s="173" customFormat="1" ht="12.75" x14ac:dyDescent="0.25">
      <c r="B76" s="174"/>
      <c r="D76" s="198" t="s">
        <v>1830</v>
      </c>
      <c r="E76" s="199"/>
      <c r="F76" s="200" t="s">
        <v>1831</v>
      </c>
      <c r="G76" s="198" t="s">
        <v>1830</v>
      </c>
      <c r="H76" s="199"/>
      <c r="I76" s="199"/>
      <c r="J76" s="201" t="s">
        <v>1831</v>
      </c>
      <c r="K76" s="199"/>
      <c r="L76" s="174"/>
    </row>
    <row r="77" spans="2:12" s="173" customFormat="1" ht="14.45" customHeight="1" x14ac:dyDescent="0.25">
      <c r="B77" s="202"/>
      <c r="C77" s="203"/>
      <c r="D77" s="203"/>
      <c r="E77" s="203"/>
      <c r="F77" s="203"/>
      <c r="G77" s="203"/>
      <c r="H77" s="203"/>
      <c r="I77" s="203"/>
      <c r="J77" s="203"/>
      <c r="K77" s="203"/>
      <c r="L77" s="174"/>
    </row>
    <row r="81" spans="2:47" s="173" customFormat="1" ht="6.95" customHeight="1" x14ac:dyDescent="0.25">
      <c r="B81" s="204"/>
      <c r="C81" s="205"/>
      <c r="D81" s="205"/>
      <c r="E81" s="205"/>
      <c r="F81" s="205"/>
      <c r="G81" s="205"/>
      <c r="H81" s="205"/>
      <c r="I81" s="205"/>
      <c r="J81" s="205"/>
      <c r="K81" s="205"/>
      <c r="L81" s="174"/>
    </row>
    <row r="82" spans="2:47" s="173" customFormat="1" ht="24.95" customHeight="1" x14ac:dyDescent="0.25">
      <c r="B82" s="174"/>
      <c r="C82" s="171" t="s">
        <v>1834</v>
      </c>
      <c r="L82" s="174"/>
    </row>
    <row r="83" spans="2:47" s="173" customFormat="1" ht="6.95" customHeight="1" x14ac:dyDescent="0.25">
      <c r="B83" s="174"/>
      <c r="L83" s="174"/>
    </row>
    <row r="84" spans="2:47" s="173" customFormat="1" ht="12" customHeight="1" x14ac:dyDescent="0.25">
      <c r="B84" s="174"/>
      <c r="C84" s="175" t="s">
        <v>1806</v>
      </c>
      <c r="L84" s="174"/>
    </row>
    <row r="85" spans="2:47" s="173" customFormat="1" ht="30" customHeight="1" x14ac:dyDescent="0.25">
      <c r="B85" s="174"/>
      <c r="E85" s="402" t="str">
        <f>E7</f>
        <v>STAVEBNÍ ÚPRAVY OBJEKTU Č.P. 80 SE ZMĚNOU UŽÍVÁNÍ,CETORAZ PARC.Č. ST.89-dětská skupina</v>
      </c>
      <c r="F85" s="403"/>
      <c r="G85" s="403"/>
      <c r="H85" s="403"/>
      <c r="L85" s="174"/>
    </row>
    <row r="86" spans="2:47" s="173" customFormat="1" ht="6.95" customHeight="1" x14ac:dyDescent="0.25">
      <c r="B86" s="174"/>
      <c r="L86" s="174"/>
    </row>
    <row r="87" spans="2:47" s="173" customFormat="1" ht="12" customHeight="1" x14ac:dyDescent="0.25">
      <c r="B87" s="174"/>
      <c r="C87" s="175" t="s">
        <v>1810</v>
      </c>
      <c r="F87" s="176" t="str">
        <f>F10</f>
        <v xml:space="preserve"> </v>
      </c>
      <c r="I87" s="175" t="s">
        <v>15</v>
      </c>
      <c r="J87" s="177" t="str">
        <f>IF(J10="","",J10)</f>
        <v>2. 12. 2024</v>
      </c>
      <c r="L87" s="174"/>
    </row>
    <row r="88" spans="2:47" s="173" customFormat="1" ht="6.95" customHeight="1" x14ac:dyDescent="0.25">
      <c r="B88" s="174"/>
      <c r="L88" s="174"/>
    </row>
    <row r="89" spans="2:47" s="173" customFormat="1" ht="15.2" customHeight="1" x14ac:dyDescent="0.25">
      <c r="B89" s="174"/>
      <c r="C89" s="175" t="s">
        <v>1811</v>
      </c>
      <c r="F89" s="176" t="str">
        <f>E13</f>
        <v xml:space="preserve"> </v>
      </c>
      <c r="I89" s="175" t="s">
        <v>6</v>
      </c>
      <c r="J89" s="181" t="str">
        <f>E19</f>
        <v xml:space="preserve"> </v>
      </c>
      <c r="L89" s="174"/>
    </row>
    <row r="90" spans="2:47" s="173" customFormat="1" ht="15.2" customHeight="1" x14ac:dyDescent="0.25">
      <c r="B90" s="174"/>
      <c r="C90" s="175" t="s">
        <v>1814</v>
      </c>
      <c r="F90" s="176" t="str">
        <f>IF(E16="","",E16)</f>
        <v>Vyplň údaj</v>
      </c>
      <c r="I90" s="175" t="s">
        <v>1815</v>
      </c>
      <c r="J90" s="181" t="str">
        <f>E22</f>
        <v xml:space="preserve"> </v>
      </c>
      <c r="L90" s="174"/>
    </row>
    <row r="91" spans="2:47" s="173" customFormat="1" ht="10.35" customHeight="1" x14ac:dyDescent="0.25">
      <c r="B91" s="174"/>
      <c r="L91" s="174"/>
    </row>
    <row r="92" spans="2:47" s="173" customFormat="1" ht="29.25" customHeight="1" x14ac:dyDescent="0.25">
      <c r="B92" s="174"/>
      <c r="C92" s="206" t="s">
        <v>1835</v>
      </c>
      <c r="D92" s="189"/>
      <c r="E92" s="189"/>
      <c r="F92" s="189"/>
      <c r="G92" s="189"/>
      <c r="H92" s="189"/>
      <c r="I92" s="189"/>
      <c r="J92" s="207" t="s">
        <v>1836</v>
      </c>
      <c r="K92" s="189"/>
      <c r="L92" s="174"/>
    </row>
    <row r="93" spans="2:47" s="173" customFormat="1" ht="10.35" customHeight="1" x14ac:dyDescent="0.25">
      <c r="B93" s="174"/>
      <c r="L93" s="174"/>
    </row>
    <row r="94" spans="2:47" s="173" customFormat="1" ht="22.9" customHeight="1" x14ac:dyDescent="0.25">
      <c r="B94" s="174"/>
      <c r="C94" s="208" t="s">
        <v>1837</v>
      </c>
      <c r="J94" s="184">
        <f>J131</f>
        <v>0</v>
      </c>
      <c r="L94" s="174"/>
      <c r="AU94" s="167" t="s">
        <v>1838</v>
      </c>
    </row>
    <row r="95" spans="2:47" s="209" customFormat="1" ht="24.95" customHeight="1" x14ac:dyDescent="0.25">
      <c r="B95" s="210"/>
      <c r="D95" s="211" t="s">
        <v>1839</v>
      </c>
      <c r="E95" s="212"/>
      <c r="F95" s="212"/>
      <c r="G95" s="212"/>
      <c r="H95" s="212"/>
      <c r="I95" s="212"/>
      <c r="J95" s="213">
        <f>J132</f>
        <v>0</v>
      </c>
      <c r="L95" s="210"/>
    </row>
    <row r="96" spans="2:47" s="214" customFormat="1" ht="19.899999999999999" customHeight="1" x14ac:dyDescent="0.25">
      <c r="B96" s="215"/>
      <c r="D96" s="216" t="s">
        <v>1840</v>
      </c>
      <c r="E96" s="217"/>
      <c r="F96" s="217"/>
      <c r="G96" s="217"/>
      <c r="H96" s="217"/>
      <c r="I96" s="217"/>
      <c r="J96" s="218">
        <f>J133</f>
        <v>0</v>
      </c>
      <c r="L96" s="215"/>
    </row>
    <row r="97" spans="2:12" s="214" customFormat="1" ht="19.899999999999999" customHeight="1" x14ac:dyDescent="0.25">
      <c r="B97" s="215"/>
      <c r="D97" s="216" t="s">
        <v>1841</v>
      </c>
      <c r="E97" s="217"/>
      <c r="F97" s="217"/>
      <c r="G97" s="217"/>
      <c r="H97" s="217"/>
      <c r="I97" s="217"/>
      <c r="J97" s="218">
        <f>J135</f>
        <v>0</v>
      </c>
      <c r="L97" s="215"/>
    </row>
    <row r="98" spans="2:12" s="214" customFormat="1" ht="19.899999999999999" customHeight="1" x14ac:dyDescent="0.25">
      <c r="B98" s="215"/>
      <c r="D98" s="216" t="s">
        <v>1842</v>
      </c>
      <c r="E98" s="217"/>
      <c r="F98" s="217"/>
      <c r="G98" s="217"/>
      <c r="H98" s="217"/>
      <c r="I98" s="217"/>
      <c r="J98" s="218">
        <f>J154</f>
        <v>0</v>
      </c>
      <c r="L98" s="215"/>
    </row>
    <row r="99" spans="2:12" s="214" customFormat="1" ht="19.899999999999999" customHeight="1" x14ac:dyDescent="0.25">
      <c r="B99" s="215"/>
      <c r="D99" s="216" t="s">
        <v>1843</v>
      </c>
      <c r="E99" s="217"/>
      <c r="F99" s="217"/>
      <c r="G99" s="217"/>
      <c r="H99" s="217"/>
      <c r="I99" s="217"/>
      <c r="J99" s="218">
        <f>J162</f>
        <v>0</v>
      </c>
      <c r="L99" s="215"/>
    </row>
    <row r="100" spans="2:12" s="214" customFormat="1" ht="19.899999999999999" customHeight="1" x14ac:dyDescent="0.25">
      <c r="B100" s="215"/>
      <c r="D100" s="216" t="s">
        <v>1844</v>
      </c>
      <c r="E100" s="217"/>
      <c r="F100" s="217"/>
      <c r="G100" s="217"/>
      <c r="H100" s="217"/>
      <c r="I100" s="217"/>
      <c r="J100" s="218">
        <f>J179</f>
        <v>0</v>
      </c>
      <c r="L100" s="215"/>
    </row>
    <row r="101" spans="2:12" s="214" customFormat="1" ht="19.899999999999999" customHeight="1" x14ac:dyDescent="0.25">
      <c r="B101" s="215"/>
      <c r="D101" s="216" t="s">
        <v>1845</v>
      </c>
      <c r="E101" s="217"/>
      <c r="F101" s="217"/>
      <c r="G101" s="217"/>
      <c r="H101" s="217"/>
      <c r="I101" s="217"/>
      <c r="J101" s="218">
        <f>J184</f>
        <v>0</v>
      </c>
      <c r="L101" s="215"/>
    </row>
    <row r="102" spans="2:12" s="214" customFormat="1" ht="19.899999999999999" customHeight="1" x14ac:dyDescent="0.25">
      <c r="B102" s="215"/>
      <c r="D102" s="216" t="s">
        <v>1846</v>
      </c>
      <c r="E102" s="217"/>
      <c r="F102" s="217"/>
      <c r="G102" s="217"/>
      <c r="H102" s="217"/>
      <c r="I102" s="217"/>
      <c r="J102" s="218">
        <f>J191</f>
        <v>0</v>
      </c>
      <c r="L102" s="215"/>
    </row>
    <row r="103" spans="2:12" s="214" customFormat="1" ht="19.899999999999999" customHeight="1" x14ac:dyDescent="0.25">
      <c r="B103" s="215"/>
      <c r="D103" s="216" t="s">
        <v>1847</v>
      </c>
      <c r="E103" s="217"/>
      <c r="F103" s="217"/>
      <c r="G103" s="217"/>
      <c r="H103" s="217"/>
      <c r="I103" s="217"/>
      <c r="J103" s="218">
        <f>J194</f>
        <v>0</v>
      </c>
      <c r="L103" s="215"/>
    </row>
    <row r="104" spans="2:12" s="209" customFormat="1" ht="24.95" customHeight="1" x14ac:dyDescent="0.25">
      <c r="B104" s="210"/>
      <c r="D104" s="211" t="s">
        <v>1848</v>
      </c>
      <c r="E104" s="212"/>
      <c r="F104" s="212"/>
      <c r="G104" s="212"/>
      <c r="H104" s="212"/>
      <c r="I104" s="212"/>
      <c r="J104" s="213">
        <f>J198</f>
        <v>0</v>
      </c>
      <c r="L104" s="210"/>
    </row>
    <row r="105" spans="2:12" s="214" customFormat="1" ht="19.899999999999999" customHeight="1" x14ac:dyDescent="0.25">
      <c r="B105" s="215"/>
      <c r="D105" s="216" t="s">
        <v>1849</v>
      </c>
      <c r="E105" s="217"/>
      <c r="F105" s="217"/>
      <c r="G105" s="217"/>
      <c r="H105" s="217"/>
      <c r="I105" s="217"/>
      <c r="J105" s="218">
        <f>J199</f>
        <v>0</v>
      </c>
      <c r="L105" s="215"/>
    </row>
    <row r="106" spans="2:12" s="214" customFormat="1" ht="19.899999999999999" customHeight="1" x14ac:dyDescent="0.25">
      <c r="B106" s="215"/>
      <c r="D106" s="216" t="s">
        <v>1850</v>
      </c>
      <c r="E106" s="217"/>
      <c r="F106" s="217"/>
      <c r="G106" s="217"/>
      <c r="H106" s="217"/>
      <c r="I106" s="217"/>
      <c r="J106" s="218">
        <f>J302</f>
        <v>0</v>
      </c>
      <c r="L106" s="215"/>
    </row>
    <row r="107" spans="2:12" s="214" customFormat="1" ht="19.899999999999999" customHeight="1" x14ac:dyDescent="0.25">
      <c r="B107" s="215"/>
      <c r="D107" s="216" t="s">
        <v>1851</v>
      </c>
      <c r="E107" s="217"/>
      <c r="F107" s="217"/>
      <c r="G107" s="217"/>
      <c r="H107" s="217"/>
      <c r="I107" s="217"/>
      <c r="J107" s="218">
        <f>J341</f>
        <v>0</v>
      </c>
      <c r="L107" s="215"/>
    </row>
    <row r="108" spans="2:12" s="214" customFormat="1" ht="19.899999999999999" customHeight="1" x14ac:dyDescent="0.25">
      <c r="B108" s="215"/>
      <c r="D108" s="216" t="s">
        <v>1852</v>
      </c>
      <c r="E108" s="217"/>
      <c r="F108" s="217"/>
      <c r="G108" s="217"/>
      <c r="H108" s="217"/>
      <c r="I108" s="217"/>
      <c r="J108" s="218">
        <f>J345</f>
        <v>0</v>
      </c>
      <c r="L108" s="215"/>
    </row>
    <row r="109" spans="2:12" s="209" customFormat="1" ht="24.95" customHeight="1" x14ac:dyDescent="0.25">
      <c r="B109" s="210"/>
      <c r="D109" s="211" t="s">
        <v>1853</v>
      </c>
      <c r="E109" s="212"/>
      <c r="F109" s="212"/>
      <c r="G109" s="212"/>
      <c r="H109" s="212"/>
      <c r="I109" s="212"/>
      <c r="J109" s="213">
        <f>J360</f>
        <v>0</v>
      </c>
      <c r="L109" s="210"/>
    </row>
    <row r="110" spans="2:12" s="209" customFormat="1" ht="24.95" customHeight="1" x14ac:dyDescent="0.25">
      <c r="B110" s="210"/>
      <c r="D110" s="211" t="s">
        <v>1854</v>
      </c>
      <c r="E110" s="212"/>
      <c r="F110" s="212"/>
      <c r="G110" s="212"/>
      <c r="H110" s="212"/>
      <c r="I110" s="212"/>
      <c r="J110" s="213">
        <f>J364</f>
        <v>0</v>
      </c>
      <c r="L110" s="210"/>
    </row>
    <row r="111" spans="2:12" s="214" customFormat="1" ht="19.899999999999999" customHeight="1" x14ac:dyDescent="0.25">
      <c r="B111" s="215"/>
      <c r="D111" s="216" t="s">
        <v>1855</v>
      </c>
      <c r="E111" s="217"/>
      <c r="F111" s="217"/>
      <c r="G111" s="217"/>
      <c r="H111" s="217"/>
      <c r="I111" s="217"/>
      <c r="J111" s="218">
        <f>J365</f>
        <v>0</v>
      </c>
      <c r="L111" s="215"/>
    </row>
    <row r="112" spans="2:12" s="214" customFormat="1" ht="19.899999999999999" customHeight="1" x14ac:dyDescent="0.25">
      <c r="B112" s="215"/>
      <c r="D112" s="216" t="s">
        <v>1856</v>
      </c>
      <c r="E112" s="217"/>
      <c r="F112" s="217"/>
      <c r="G112" s="217"/>
      <c r="H112" s="217"/>
      <c r="I112" s="217"/>
      <c r="J112" s="218">
        <f>J367</f>
        <v>0</v>
      </c>
      <c r="L112" s="215"/>
    </row>
    <row r="113" spans="2:12" s="214" customFormat="1" ht="19.899999999999999" customHeight="1" x14ac:dyDescent="0.25">
      <c r="B113" s="215"/>
      <c r="D113" s="216" t="s">
        <v>1857</v>
      </c>
      <c r="E113" s="217"/>
      <c r="F113" s="217"/>
      <c r="G113" s="217"/>
      <c r="H113" s="217"/>
      <c r="I113" s="217"/>
      <c r="J113" s="218">
        <f>J369</f>
        <v>0</v>
      </c>
      <c r="L113" s="215"/>
    </row>
    <row r="114" spans="2:12" s="173" customFormat="1" ht="21.75" customHeight="1" x14ac:dyDescent="0.25">
      <c r="B114" s="174"/>
      <c r="L114" s="174"/>
    </row>
    <row r="115" spans="2:12" s="173" customFormat="1" ht="6.95" customHeight="1" x14ac:dyDescent="0.25">
      <c r="B115" s="202"/>
      <c r="C115" s="203"/>
      <c r="D115" s="203"/>
      <c r="E115" s="203"/>
      <c r="F115" s="203"/>
      <c r="G115" s="203"/>
      <c r="H115" s="203"/>
      <c r="I115" s="203"/>
      <c r="J115" s="203"/>
      <c r="K115" s="203"/>
      <c r="L115" s="174"/>
    </row>
    <row r="119" spans="2:12" s="173" customFormat="1" ht="6.95" customHeight="1" x14ac:dyDescent="0.25">
      <c r="B119" s="204"/>
      <c r="C119" s="205"/>
      <c r="D119" s="205"/>
      <c r="E119" s="205"/>
      <c r="F119" s="205"/>
      <c r="G119" s="205"/>
      <c r="H119" s="205"/>
      <c r="I119" s="205"/>
      <c r="J119" s="205"/>
      <c r="K119" s="205"/>
      <c r="L119" s="174"/>
    </row>
    <row r="120" spans="2:12" s="173" customFormat="1" ht="24.95" customHeight="1" x14ac:dyDescent="0.25">
      <c r="B120" s="174"/>
      <c r="C120" s="171" t="s">
        <v>1858</v>
      </c>
      <c r="L120" s="174"/>
    </row>
    <row r="121" spans="2:12" s="173" customFormat="1" ht="6.95" customHeight="1" x14ac:dyDescent="0.25">
      <c r="B121" s="174"/>
      <c r="L121" s="174"/>
    </row>
    <row r="122" spans="2:12" s="173" customFormat="1" ht="12" customHeight="1" x14ac:dyDescent="0.25">
      <c r="B122" s="174"/>
      <c r="C122" s="175" t="s">
        <v>1806</v>
      </c>
      <c r="L122" s="174"/>
    </row>
    <row r="123" spans="2:12" s="173" customFormat="1" ht="30" customHeight="1" x14ac:dyDescent="0.25">
      <c r="B123" s="174"/>
      <c r="E123" s="402" t="str">
        <f>E7</f>
        <v>STAVEBNÍ ÚPRAVY OBJEKTU Č.P. 80 SE ZMĚNOU UŽÍVÁNÍ,CETORAZ PARC.Č. ST.89-dětská skupina</v>
      </c>
      <c r="F123" s="403"/>
      <c r="G123" s="403"/>
      <c r="H123" s="403"/>
      <c r="L123" s="174"/>
    </row>
    <row r="124" spans="2:12" s="173" customFormat="1" ht="6.95" customHeight="1" x14ac:dyDescent="0.25">
      <c r="B124" s="174"/>
      <c r="L124" s="174"/>
    </row>
    <row r="125" spans="2:12" s="173" customFormat="1" ht="12" customHeight="1" x14ac:dyDescent="0.25">
      <c r="B125" s="174"/>
      <c r="C125" s="175" t="s">
        <v>1810</v>
      </c>
      <c r="F125" s="176" t="str">
        <f>F10</f>
        <v xml:space="preserve"> </v>
      </c>
      <c r="I125" s="175" t="s">
        <v>15</v>
      </c>
      <c r="J125" s="177" t="str">
        <f>IF(J10="","",J10)</f>
        <v>2. 12. 2024</v>
      </c>
      <c r="L125" s="174"/>
    </row>
    <row r="126" spans="2:12" s="173" customFormat="1" ht="6.95" customHeight="1" x14ac:dyDescent="0.25">
      <c r="B126" s="174"/>
      <c r="L126" s="174"/>
    </row>
    <row r="127" spans="2:12" s="173" customFormat="1" ht="15.2" customHeight="1" x14ac:dyDescent="0.25">
      <c r="B127" s="174"/>
      <c r="C127" s="175" t="s">
        <v>1811</v>
      </c>
      <c r="F127" s="176" t="str">
        <f>E13</f>
        <v xml:space="preserve"> </v>
      </c>
      <c r="I127" s="175" t="s">
        <v>6</v>
      </c>
      <c r="J127" s="181" t="str">
        <f>E19</f>
        <v xml:space="preserve"> </v>
      </c>
      <c r="L127" s="174"/>
    </row>
    <row r="128" spans="2:12" s="173" customFormat="1" ht="15.2" customHeight="1" x14ac:dyDescent="0.25">
      <c r="B128" s="174"/>
      <c r="C128" s="175" t="s">
        <v>1814</v>
      </c>
      <c r="F128" s="176" t="str">
        <f>IF(E16="","",E16)</f>
        <v>Vyplň údaj</v>
      </c>
      <c r="I128" s="175" t="s">
        <v>1815</v>
      </c>
      <c r="J128" s="181" t="str">
        <f>E22</f>
        <v xml:space="preserve"> </v>
      </c>
      <c r="L128" s="174"/>
    </row>
    <row r="129" spans="2:65" s="173" customFormat="1" ht="10.35" customHeight="1" x14ac:dyDescent="0.25">
      <c r="B129" s="174"/>
      <c r="L129" s="174"/>
    </row>
    <row r="130" spans="2:65" s="219" customFormat="1" ht="29.25" customHeight="1" x14ac:dyDescent="0.25">
      <c r="B130" s="220"/>
      <c r="C130" s="221" t="s">
        <v>1859</v>
      </c>
      <c r="D130" s="222" t="s">
        <v>1860</v>
      </c>
      <c r="E130" s="222" t="s">
        <v>83</v>
      </c>
      <c r="F130" s="222" t="s">
        <v>1683</v>
      </c>
      <c r="G130" s="222" t="s">
        <v>197</v>
      </c>
      <c r="H130" s="222" t="s">
        <v>198</v>
      </c>
      <c r="I130" s="222" t="s">
        <v>1861</v>
      </c>
      <c r="J130" s="223" t="s">
        <v>1836</v>
      </c>
      <c r="K130" s="224" t="s">
        <v>1862</v>
      </c>
      <c r="L130" s="220"/>
      <c r="M130" s="225" t="s">
        <v>4</v>
      </c>
      <c r="N130" s="226" t="s">
        <v>1820</v>
      </c>
      <c r="O130" s="226" t="s">
        <v>1863</v>
      </c>
      <c r="P130" s="226" t="s">
        <v>1864</v>
      </c>
      <c r="Q130" s="226" t="s">
        <v>1865</v>
      </c>
      <c r="R130" s="226" t="s">
        <v>1866</v>
      </c>
      <c r="S130" s="226" t="s">
        <v>1867</v>
      </c>
      <c r="T130" s="227" t="s">
        <v>1868</v>
      </c>
    </row>
    <row r="131" spans="2:65" s="173" customFormat="1" ht="22.9" customHeight="1" x14ac:dyDescent="0.25">
      <c r="B131" s="174"/>
      <c r="C131" s="228" t="s">
        <v>1869</v>
      </c>
      <c r="J131" s="229">
        <f>BK131</f>
        <v>0</v>
      </c>
      <c r="L131" s="174"/>
      <c r="M131" s="230"/>
      <c r="N131" s="182"/>
      <c r="O131" s="182"/>
      <c r="P131" s="231">
        <f>P132+P198+P360+P364</f>
        <v>0</v>
      </c>
      <c r="Q131" s="182"/>
      <c r="R131" s="231">
        <f>R132+R198+R360+R364</f>
        <v>0.69001600000000007</v>
      </c>
      <c r="S131" s="182"/>
      <c r="T131" s="232">
        <f>T132+T198+T360+T364</f>
        <v>0</v>
      </c>
      <c r="AT131" s="167" t="s">
        <v>1870</v>
      </c>
      <c r="AU131" s="167" t="s">
        <v>1838</v>
      </c>
      <c r="BK131" s="233">
        <f>BK132+BK198+BK360+BK364</f>
        <v>0</v>
      </c>
    </row>
    <row r="132" spans="2:65" s="234" customFormat="1" ht="25.9" customHeight="1" x14ac:dyDescent="0.2">
      <c r="B132" s="235"/>
      <c r="D132" s="236" t="s">
        <v>1870</v>
      </c>
      <c r="E132" s="237" t="s">
        <v>30</v>
      </c>
      <c r="F132" s="237" t="s">
        <v>1871</v>
      </c>
      <c r="I132" s="238"/>
      <c r="J132" s="239">
        <f>BK132</f>
        <v>0</v>
      </c>
      <c r="L132" s="235"/>
      <c r="M132" s="240"/>
      <c r="P132" s="241">
        <f>P133+P135+P154+P162+P179+P184+P191+P194</f>
        <v>0</v>
      </c>
      <c r="R132" s="241">
        <f>R133+R135+R154+R162+R179+R184+R191+R194</f>
        <v>8.7910000000000002E-2</v>
      </c>
      <c r="T132" s="242">
        <f>T133+T135+T154+T162+T179+T184+T191+T194</f>
        <v>0</v>
      </c>
      <c r="AR132" s="236" t="s">
        <v>227</v>
      </c>
      <c r="AT132" s="243" t="s">
        <v>1870</v>
      </c>
      <c r="AU132" s="243" t="s">
        <v>1872</v>
      </c>
      <c r="AY132" s="236" t="s">
        <v>1873</v>
      </c>
      <c r="BK132" s="244">
        <f>BK133+BK135+BK154+BK162+BK179+BK184+BK191+BK194</f>
        <v>0</v>
      </c>
    </row>
    <row r="133" spans="2:65" s="234" customFormat="1" ht="22.9" customHeight="1" x14ac:dyDescent="0.2">
      <c r="B133" s="235"/>
      <c r="D133" s="236" t="s">
        <v>1870</v>
      </c>
      <c r="E133" s="245" t="s">
        <v>1874</v>
      </c>
      <c r="F133" s="245" t="s">
        <v>1875</v>
      </c>
      <c r="I133" s="238"/>
      <c r="J133" s="246">
        <f>BK133</f>
        <v>0</v>
      </c>
      <c r="L133" s="235"/>
      <c r="M133" s="240"/>
      <c r="P133" s="241">
        <f>P134</f>
        <v>0</v>
      </c>
      <c r="R133" s="241">
        <f>R134</f>
        <v>0</v>
      </c>
      <c r="T133" s="242">
        <f>T134</f>
        <v>0</v>
      </c>
      <c r="AR133" s="236" t="s">
        <v>227</v>
      </c>
      <c r="AT133" s="243" t="s">
        <v>1870</v>
      </c>
      <c r="AU133" s="243" t="s">
        <v>219</v>
      </c>
      <c r="AY133" s="236" t="s">
        <v>1873</v>
      </c>
      <c r="BK133" s="244">
        <f>BK134</f>
        <v>0</v>
      </c>
    </row>
    <row r="134" spans="2:65" s="173" customFormat="1" ht="24.2" customHeight="1" x14ac:dyDescent="0.25">
      <c r="B134" s="247"/>
      <c r="C134" s="248" t="s">
        <v>219</v>
      </c>
      <c r="D134" s="248" t="s">
        <v>1876</v>
      </c>
      <c r="E134" s="249" t="s">
        <v>290</v>
      </c>
      <c r="F134" s="250" t="s">
        <v>1877</v>
      </c>
      <c r="G134" s="251" t="s">
        <v>1695</v>
      </c>
      <c r="H134" s="252">
        <v>1</v>
      </c>
      <c r="I134" s="253"/>
      <c r="J134" s="254">
        <f>ROUND(I134*H134,2)</f>
        <v>0</v>
      </c>
      <c r="K134" s="255"/>
      <c r="L134" s="256"/>
      <c r="M134" s="257" t="s">
        <v>4</v>
      </c>
      <c r="N134" s="258" t="s">
        <v>1821</v>
      </c>
      <c r="P134" s="259">
        <f>O134*H134</f>
        <v>0</v>
      </c>
      <c r="Q134" s="259">
        <v>0</v>
      </c>
      <c r="R134" s="259">
        <f>Q134*H134</f>
        <v>0</v>
      </c>
      <c r="S134" s="259">
        <v>0</v>
      </c>
      <c r="T134" s="260">
        <f>S134*H134</f>
        <v>0</v>
      </c>
      <c r="AR134" s="261" t="s">
        <v>321</v>
      </c>
      <c r="AT134" s="261" t="s">
        <v>1876</v>
      </c>
      <c r="AU134" s="261" t="s">
        <v>227</v>
      </c>
      <c r="AY134" s="167" t="s">
        <v>1873</v>
      </c>
      <c r="BE134" s="262">
        <f>IF(N134="základní",J134,0)</f>
        <v>0</v>
      </c>
      <c r="BF134" s="262">
        <f>IF(N134="snížená",J134,0)</f>
        <v>0</v>
      </c>
      <c r="BG134" s="262">
        <f>IF(N134="zákl. přenesená",J134,0)</f>
        <v>0</v>
      </c>
      <c r="BH134" s="262">
        <f>IF(N134="sníž. přenesená",J134,0)</f>
        <v>0</v>
      </c>
      <c r="BI134" s="262">
        <f>IF(N134="nulová",J134,0)</f>
        <v>0</v>
      </c>
      <c r="BJ134" s="167" t="s">
        <v>219</v>
      </c>
      <c r="BK134" s="262">
        <f>ROUND(I134*H134,2)</f>
        <v>0</v>
      </c>
      <c r="BL134" s="167" t="s">
        <v>95</v>
      </c>
      <c r="BM134" s="261" t="s">
        <v>1878</v>
      </c>
    </row>
    <row r="135" spans="2:65" s="234" customFormat="1" ht="22.9" customHeight="1" x14ac:dyDescent="0.2">
      <c r="B135" s="235"/>
      <c r="D135" s="236" t="s">
        <v>1870</v>
      </c>
      <c r="E135" s="245" t="s">
        <v>1879</v>
      </c>
      <c r="F135" s="245" t="s">
        <v>1880</v>
      </c>
      <c r="I135" s="238"/>
      <c r="J135" s="246">
        <f>BK135</f>
        <v>0</v>
      </c>
      <c r="L135" s="235"/>
      <c r="M135" s="240"/>
      <c r="P135" s="241">
        <f>SUM(P136:P153)</f>
        <v>0</v>
      </c>
      <c r="R135" s="241">
        <f>SUM(R136:R153)</f>
        <v>0</v>
      </c>
      <c r="T135" s="242">
        <f>SUM(T136:T153)</f>
        <v>0</v>
      </c>
      <c r="AR135" s="236" t="s">
        <v>227</v>
      </c>
      <c r="AT135" s="243" t="s">
        <v>1870</v>
      </c>
      <c r="AU135" s="243" t="s">
        <v>219</v>
      </c>
      <c r="AY135" s="236" t="s">
        <v>1873</v>
      </c>
      <c r="BK135" s="244">
        <f>SUM(BK136:BK153)</f>
        <v>0</v>
      </c>
    </row>
    <row r="136" spans="2:65" s="173" customFormat="1" ht="24.2" customHeight="1" x14ac:dyDescent="0.25">
      <c r="B136" s="247"/>
      <c r="C136" s="263" t="s">
        <v>227</v>
      </c>
      <c r="D136" s="263" t="s">
        <v>1881</v>
      </c>
      <c r="E136" s="264" t="s">
        <v>1882</v>
      </c>
      <c r="F136" s="265" t="s">
        <v>1883</v>
      </c>
      <c r="G136" s="266" t="s">
        <v>329</v>
      </c>
      <c r="H136" s="267">
        <v>914</v>
      </c>
      <c r="I136" s="268"/>
      <c r="J136" s="269">
        <f t="shared" ref="J136:J153" si="0">ROUND(I136*H136,2)</f>
        <v>0</v>
      </c>
      <c r="K136" s="270"/>
      <c r="L136" s="174"/>
      <c r="M136" s="271" t="s">
        <v>4</v>
      </c>
      <c r="N136" s="272" t="s">
        <v>1821</v>
      </c>
      <c r="P136" s="259">
        <f t="shared" ref="P136:P153" si="1">O136*H136</f>
        <v>0</v>
      </c>
      <c r="Q136" s="259">
        <v>0</v>
      </c>
      <c r="R136" s="259">
        <f t="shared" ref="R136:R153" si="2">Q136*H136</f>
        <v>0</v>
      </c>
      <c r="S136" s="259">
        <v>0</v>
      </c>
      <c r="T136" s="260">
        <f t="shared" ref="T136:T153" si="3">S136*H136</f>
        <v>0</v>
      </c>
      <c r="AR136" s="261" t="s">
        <v>95</v>
      </c>
      <c r="AT136" s="261" t="s">
        <v>1881</v>
      </c>
      <c r="AU136" s="261" t="s">
        <v>227</v>
      </c>
      <c r="AY136" s="167" t="s">
        <v>1873</v>
      </c>
      <c r="BE136" s="262">
        <f t="shared" ref="BE136:BE153" si="4">IF(N136="základní",J136,0)</f>
        <v>0</v>
      </c>
      <c r="BF136" s="262">
        <f t="shared" ref="BF136:BF153" si="5">IF(N136="snížená",J136,0)</f>
        <v>0</v>
      </c>
      <c r="BG136" s="262">
        <f t="shared" ref="BG136:BG153" si="6">IF(N136="zákl. přenesená",J136,0)</f>
        <v>0</v>
      </c>
      <c r="BH136" s="262">
        <f t="shared" ref="BH136:BH153" si="7">IF(N136="sníž. přenesená",J136,0)</f>
        <v>0</v>
      </c>
      <c r="BI136" s="262">
        <f t="shared" ref="BI136:BI153" si="8">IF(N136="nulová",J136,0)</f>
        <v>0</v>
      </c>
      <c r="BJ136" s="167" t="s">
        <v>219</v>
      </c>
      <c r="BK136" s="262">
        <f t="shared" ref="BK136:BK153" si="9">ROUND(I136*H136,2)</f>
        <v>0</v>
      </c>
      <c r="BL136" s="167" t="s">
        <v>95</v>
      </c>
      <c r="BM136" s="261" t="s">
        <v>1884</v>
      </c>
    </row>
    <row r="137" spans="2:65" s="173" customFormat="1" ht="24.2" customHeight="1" x14ac:dyDescent="0.25">
      <c r="B137" s="247"/>
      <c r="C137" s="263" t="s">
        <v>230</v>
      </c>
      <c r="D137" s="263" t="s">
        <v>1881</v>
      </c>
      <c r="E137" s="264" t="s">
        <v>1885</v>
      </c>
      <c r="F137" s="265" t="s">
        <v>1886</v>
      </c>
      <c r="G137" s="266" t="s">
        <v>329</v>
      </c>
      <c r="H137" s="267">
        <v>10</v>
      </c>
      <c r="I137" s="268"/>
      <c r="J137" s="269">
        <f t="shared" si="0"/>
        <v>0</v>
      </c>
      <c r="K137" s="270"/>
      <c r="L137" s="174"/>
      <c r="M137" s="271" t="s">
        <v>4</v>
      </c>
      <c r="N137" s="272" t="s">
        <v>1821</v>
      </c>
      <c r="P137" s="259">
        <f t="shared" si="1"/>
        <v>0</v>
      </c>
      <c r="Q137" s="259">
        <v>0</v>
      </c>
      <c r="R137" s="259">
        <f t="shared" si="2"/>
        <v>0</v>
      </c>
      <c r="S137" s="259">
        <v>0</v>
      </c>
      <c r="T137" s="260">
        <f t="shared" si="3"/>
        <v>0</v>
      </c>
      <c r="AR137" s="261" t="s">
        <v>95</v>
      </c>
      <c r="AT137" s="261" t="s">
        <v>1881</v>
      </c>
      <c r="AU137" s="261" t="s">
        <v>227</v>
      </c>
      <c r="AY137" s="167" t="s">
        <v>1873</v>
      </c>
      <c r="BE137" s="262">
        <f t="shared" si="4"/>
        <v>0</v>
      </c>
      <c r="BF137" s="262">
        <f t="shared" si="5"/>
        <v>0</v>
      </c>
      <c r="BG137" s="262">
        <f t="shared" si="6"/>
        <v>0</v>
      </c>
      <c r="BH137" s="262">
        <f t="shared" si="7"/>
        <v>0</v>
      </c>
      <c r="BI137" s="262">
        <f t="shared" si="8"/>
        <v>0</v>
      </c>
      <c r="BJ137" s="167" t="s">
        <v>219</v>
      </c>
      <c r="BK137" s="262">
        <f t="shared" si="9"/>
        <v>0</v>
      </c>
      <c r="BL137" s="167" t="s">
        <v>95</v>
      </c>
      <c r="BM137" s="261" t="s">
        <v>1887</v>
      </c>
    </row>
    <row r="138" spans="2:65" s="173" customFormat="1" ht="24.2" customHeight="1" x14ac:dyDescent="0.25">
      <c r="B138" s="247"/>
      <c r="C138" s="263" t="s">
        <v>233</v>
      </c>
      <c r="D138" s="263" t="s">
        <v>1881</v>
      </c>
      <c r="E138" s="264" t="s">
        <v>1888</v>
      </c>
      <c r="F138" s="265" t="s">
        <v>1889</v>
      </c>
      <c r="G138" s="266" t="s">
        <v>329</v>
      </c>
      <c r="H138" s="267">
        <v>10</v>
      </c>
      <c r="I138" s="268"/>
      <c r="J138" s="269">
        <f t="shared" si="0"/>
        <v>0</v>
      </c>
      <c r="K138" s="270"/>
      <c r="L138" s="174"/>
      <c r="M138" s="271" t="s">
        <v>4</v>
      </c>
      <c r="N138" s="272" t="s">
        <v>1821</v>
      </c>
      <c r="P138" s="259">
        <f t="shared" si="1"/>
        <v>0</v>
      </c>
      <c r="Q138" s="259">
        <v>0</v>
      </c>
      <c r="R138" s="259">
        <f t="shared" si="2"/>
        <v>0</v>
      </c>
      <c r="S138" s="259">
        <v>0</v>
      </c>
      <c r="T138" s="260">
        <f t="shared" si="3"/>
        <v>0</v>
      </c>
      <c r="AR138" s="261" t="s">
        <v>95</v>
      </c>
      <c r="AT138" s="261" t="s">
        <v>1881</v>
      </c>
      <c r="AU138" s="261" t="s">
        <v>227</v>
      </c>
      <c r="AY138" s="167" t="s">
        <v>1873</v>
      </c>
      <c r="BE138" s="262">
        <f t="shared" si="4"/>
        <v>0</v>
      </c>
      <c r="BF138" s="262">
        <f t="shared" si="5"/>
        <v>0</v>
      </c>
      <c r="BG138" s="262">
        <f t="shared" si="6"/>
        <v>0</v>
      </c>
      <c r="BH138" s="262">
        <f t="shared" si="7"/>
        <v>0</v>
      </c>
      <c r="BI138" s="262">
        <f t="shared" si="8"/>
        <v>0</v>
      </c>
      <c r="BJ138" s="167" t="s">
        <v>219</v>
      </c>
      <c r="BK138" s="262">
        <f t="shared" si="9"/>
        <v>0</v>
      </c>
      <c r="BL138" s="167" t="s">
        <v>95</v>
      </c>
      <c r="BM138" s="261" t="s">
        <v>1890</v>
      </c>
    </row>
    <row r="139" spans="2:65" s="173" customFormat="1" ht="24.2" customHeight="1" x14ac:dyDescent="0.25">
      <c r="B139" s="247"/>
      <c r="C139" s="263" t="s">
        <v>237</v>
      </c>
      <c r="D139" s="263" t="s">
        <v>1881</v>
      </c>
      <c r="E139" s="264" t="s">
        <v>1891</v>
      </c>
      <c r="F139" s="265" t="s">
        <v>1892</v>
      </c>
      <c r="G139" s="266" t="s">
        <v>329</v>
      </c>
      <c r="H139" s="267">
        <v>1</v>
      </c>
      <c r="I139" s="268"/>
      <c r="J139" s="269">
        <f t="shared" si="0"/>
        <v>0</v>
      </c>
      <c r="K139" s="270"/>
      <c r="L139" s="174"/>
      <c r="M139" s="271" t="s">
        <v>4</v>
      </c>
      <c r="N139" s="272" t="s">
        <v>1821</v>
      </c>
      <c r="P139" s="259">
        <f t="shared" si="1"/>
        <v>0</v>
      </c>
      <c r="Q139" s="259">
        <v>0</v>
      </c>
      <c r="R139" s="259">
        <f t="shared" si="2"/>
        <v>0</v>
      </c>
      <c r="S139" s="259">
        <v>0</v>
      </c>
      <c r="T139" s="260">
        <f t="shared" si="3"/>
        <v>0</v>
      </c>
      <c r="AR139" s="261" t="s">
        <v>95</v>
      </c>
      <c r="AT139" s="261" t="s">
        <v>1881</v>
      </c>
      <c r="AU139" s="261" t="s">
        <v>227</v>
      </c>
      <c r="AY139" s="167" t="s">
        <v>1873</v>
      </c>
      <c r="BE139" s="262">
        <f t="shared" si="4"/>
        <v>0</v>
      </c>
      <c r="BF139" s="262">
        <f t="shared" si="5"/>
        <v>0</v>
      </c>
      <c r="BG139" s="262">
        <f t="shared" si="6"/>
        <v>0</v>
      </c>
      <c r="BH139" s="262">
        <f t="shared" si="7"/>
        <v>0</v>
      </c>
      <c r="BI139" s="262">
        <f t="shared" si="8"/>
        <v>0</v>
      </c>
      <c r="BJ139" s="167" t="s">
        <v>219</v>
      </c>
      <c r="BK139" s="262">
        <f t="shared" si="9"/>
        <v>0</v>
      </c>
      <c r="BL139" s="167" t="s">
        <v>95</v>
      </c>
      <c r="BM139" s="261" t="s">
        <v>1893</v>
      </c>
    </row>
    <row r="140" spans="2:65" s="173" customFormat="1" ht="38.65" customHeight="1" x14ac:dyDescent="0.25">
      <c r="B140" s="247"/>
      <c r="C140" s="248" t="s">
        <v>240</v>
      </c>
      <c r="D140" s="248" t="s">
        <v>1876</v>
      </c>
      <c r="E140" s="249" t="s">
        <v>1894</v>
      </c>
      <c r="F140" s="250" t="s">
        <v>1895</v>
      </c>
      <c r="G140" s="251" t="s">
        <v>1695</v>
      </c>
      <c r="H140" s="252">
        <v>1</v>
      </c>
      <c r="I140" s="253"/>
      <c r="J140" s="254">
        <f t="shared" si="0"/>
        <v>0</v>
      </c>
      <c r="K140" s="255"/>
      <c r="L140" s="256"/>
      <c r="M140" s="257" t="s">
        <v>4</v>
      </c>
      <c r="N140" s="258" t="s">
        <v>1821</v>
      </c>
      <c r="P140" s="259">
        <f t="shared" si="1"/>
        <v>0</v>
      </c>
      <c r="Q140" s="259">
        <v>0</v>
      </c>
      <c r="R140" s="259">
        <f t="shared" si="2"/>
        <v>0</v>
      </c>
      <c r="S140" s="259">
        <v>0</v>
      </c>
      <c r="T140" s="260">
        <f t="shared" si="3"/>
        <v>0</v>
      </c>
      <c r="AR140" s="261" t="s">
        <v>321</v>
      </c>
      <c r="AT140" s="261" t="s">
        <v>1876</v>
      </c>
      <c r="AU140" s="261" t="s">
        <v>227</v>
      </c>
      <c r="AY140" s="167" t="s">
        <v>1873</v>
      </c>
      <c r="BE140" s="262">
        <f t="shared" si="4"/>
        <v>0</v>
      </c>
      <c r="BF140" s="262">
        <f t="shared" si="5"/>
        <v>0</v>
      </c>
      <c r="BG140" s="262">
        <f t="shared" si="6"/>
        <v>0</v>
      </c>
      <c r="BH140" s="262">
        <f t="shared" si="7"/>
        <v>0</v>
      </c>
      <c r="BI140" s="262">
        <f t="shared" si="8"/>
        <v>0</v>
      </c>
      <c r="BJ140" s="167" t="s">
        <v>219</v>
      </c>
      <c r="BK140" s="262">
        <f t="shared" si="9"/>
        <v>0</v>
      </c>
      <c r="BL140" s="167" t="s">
        <v>95</v>
      </c>
      <c r="BM140" s="261" t="s">
        <v>1896</v>
      </c>
    </row>
    <row r="141" spans="2:65" s="173" customFormat="1" ht="24.2" customHeight="1" x14ac:dyDescent="0.25">
      <c r="B141" s="247"/>
      <c r="C141" s="263" t="s">
        <v>243</v>
      </c>
      <c r="D141" s="263" t="s">
        <v>1881</v>
      </c>
      <c r="E141" s="264" t="s">
        <v>1897</v>
      </c>
      <c r="F141" s="265" t="s">
        <v>1892</v>
      </c>
      <c r="G141" s="266" t="s">
        <v>329</v>
      </c>
      <c r="H141" s="267">
        <v>2</v>
      </c>
      <c r="I141" s="268"/>
      <c r="J141" s="269">
        <f t="shared" si="0"/>
        <v>0</v>
      </c>
      <c r="K141" s="270"/>
      <c r="L141" s="174"/>
      <c r="M141" s="271" t="s">
        <v>4</v>
      </c>
      <c r="N141" s="272" t="s">
        <v>1821</v>
      </c>
      <c r="P141" s="259">
        <f t="shared" si="1"/>
        <v>0</v>
      </c>
      <c r="Q141" s="259">
        <v>0</v>
      </c>
      <c r="R141" s="259">
        <f t="shared" si="2"/>
        <v>0</v>
      </c>
      <c r="S141" s="259">
        <v>0</v>
      </c>
      <c r="T141" s="260">
        <f t="shared" si="3"/>
        <v>0</v>
      </c>
      <c r="AR141" s="261" t="s">
        <v>95</v>
      </c>
      <c r="AT141" s="261" t="s">
        <v>1881</v>
      </c>
      <c r="AU141" s="261" t="s">
        <v>227</v>
      </c>
      <c r="AY141" s="167" t="s">
        <v>1873</v>
      </c>
      <c r="BE141" s="262">
        <f t="shared" si="4"/>
        <v>0</v>
      </c>
      <c r="BF141" s="262">
        <f t="shared" si="5"/>
        <v>0</v>
      </c>
      <c r="BG141" s="262">
        <f t="shared" si="6"/>
        <v>0</v>
      </c>
      <c r="BH141" s="262">
        <f t="shared" si="7"/>
        <v>0</v>
      </c>
      <c r="BI141" s="262">
        <f t="shared" si="8"/>
        <v>0</v>
      </c>
      <c r="BJ141" s="167" t="s">
        <v>219</v>
      </c>
      <c r="BK141" s="262">
        <f t="shared" si="9"/>
        <v>0</v>
      </c>
      <c r="BL141" s="167" t="s">
        <v>95</v>
      </c>
      <c r="BM141" s="261" t="s">
        <v>1898</v>
      </c>
    </row>
    <row r="142" spans="2:65" s="173" customFormat="1" ht="37.9" customHeight="1" x14ac:dyDescent="0.25">
      <c r="B142" s="247"/>
      <c r="C142" s="248" t="s">
        <v>246</v>
      </c>
      <c r="D142" s="248" t="s">
        <v>1876</v>
      </c>
      <c r="E142" s="249" t="s">
        <v>1899</v>
      </c>
      <c r="F142" s="250" t="s">
        <v>1900</v>
      </c>
      <c r="G142" s="251" t="s">
        <v>1901</v>
      </c>
      <c r="H142" s="252">
        <v>2</v>
      </c>
      <c r="I142" s="253"/>
      <c r="J142" s="254">
        <f t="shared" si="0"/>
        <v>0</v>
      </c>
      <c r="K142" s="255"/>
      <c r="L142" s="256"/>
      <c r="M142" s="257" t="s">
        <v>4</v>
      </c>
      <c r="N142" s="258" t="s">
        <v>1821</v>
      </c>
      <c r="P142" s="259">
        <f t="shared" si="1"/>
        <v>0</v>
      </c>
      <c r="Q142" s="259">
        <v>0</v>
      </c>
      <c r="R142" s="259">
        <f t="shared" si="2"/>
        <v>0</v>
      </c>
      <c r="S142" s="259">
        <v>0</v>
      </c>
      <c r="T142" s="260">
        <f t="shared" si="3"/>
        <v>0</v>
      </c>
      <c r="AR142" s="261" t="s">
        <v>321</v>
      </c>
      <c r="AT142" s="261" t="s">
        <v>1876</v>
      </c>
      <c r="AU142" s="261" t="s">
        <v>227</v>
      </c>
      <c r="AY142" s="167" t="s">
        <v>1873</v>
      </c>
      <c r="BE142" s="262">
        <f t="shared" si="4"/>
        <v>0</v>
      </c>
      <c r="BF142" s="262">
        <f t="shared" si="5"/>
        <v>0</v>
      </c>
      <c r="BG142" s="262">
        <f t="shared" si="6"/>
        <v>0</v>
      </c>
      <c r="BH142" s="262">
        <f t="shared" si="7"/>
        <v>0</v>
      </c>
      <c r="BI142" s="262">
        <f t="shared" si="8"/>
        <v>0</v>
      </c>
      <c r="BJ142" s="167" t="s">
        <v>219</v>
      </c>
      <c r="BK142" s="262">
        <f t="shared" si="9"/>
        <v>0</v>
      </c>
      <c r="BL142" s="167" t="s">
        <v>95</v>
      </c>
      <c r="BM142" s="261" t="s">
        <v>1902</v>
      </c>
    </row>
    <row r="143" spans="2:65" s="173" customFormat="1" ht="24.2" customHeight="1" x14ac:dyDescent="0.25">
      <c r="B143" s="247"/>
      <c r="C143" s="263" t="s">
        <v>251</v>
      </c>
      <c r="D143" s="263" t="s">
        <v>1881</v>
      </c>
      <c r="E143" s="264" t="s">
        <v>1903</v>
      </c>
      <c r="F143" s="265" t="s">
        <v>1904</v>
      </c>
      <c r="G143" s="266" t="s">
        <v>329</v>
      </c>
      <c r="H143" s="267">
        <v>4</v>
      </c>
      <c r="I143" s="268"/>
      <c r="J143" s="269">
        <f t="shared" si="0"/>
        <v>0</v>
      </c>
      <c r="K143" s="270"/>
      <c r="L143" s="174"/>
      <c r="M143" s="271" t="s">
        <v>4</v>
      </c>
      <c r="N143" s="272" t="s">
        <v>1821</v>
      </c>
      <c r="P143" s="259">
        <f t="shared" si="1"/>
        <v>0</v>
      </c>
      <c r="Q143" s="259">
        <v>0</v>
      </c>
      <c r="R143" s="259">
        <f t="shared" si="2"/>
        <v>0</v>
      </c>
      <c r="S143" s="259">
        <v>0</v>
      </c>
      <c r="T143" s="260">
        <f t="shared" si="3"/>
        <v>0</v>
      </c>
      <c r="AR143" s="261" t="s">
        <v>95</v>
      </c>
      <c r="AT143" s="261" t="s">
        <v>1881</v>
      </c>
      <c r="AU143" s="261" t="s">
        <v>227</v>
      </c>
      <c r="AY143" s="167" t="s">
        <v>1873</v>
      </c>
      <c r="BE143" s="262">
        <f t="shared" si="4"/>
        <v>0</v>
      </c>
      <c r="BF143" s="262">
        <f t="shared" si="5"/>
        <v>0</v>
      </c>
      <c r="BG143" s="262">
        <f t="shared" si="6"/>
        <v>0</v>
      </c>
      <c r="BH143" s="262">
        <f t="shared" si="7"/>
        <v>0</v>
      </c>
      <c r="BI143" s="262">
        <f t="shared" si="8"/>
        <v>0</v>
      </c>
      <c r="BJ143" s="167" t="s">
        <v>219</v>
      </c>
      <c r="BK143" s="262">
        <f t="shared" si="9"/>
        <v>0</v>
      </c>
      <c r="BL143" s="167" t="s">
        <v>95</v>
      </c>
      <c r="BM143" s="261" t="s">
        <v>1905</v>
      </c>
    </row>
    <row r="144" spans="2:65" s="173" customFormat="1" ht="37.9" customHeight="1" x14ac:dyDescent="0.25">
      <c r="B144" s="247"/>
      <c r="C144" s="248" t="s">
        <v>254</v>
      </c>
      <c r="D144" s="248" t="s">
        <v>1876</v>
      </c>
      <c r="E144" s="249" t="s">
        <v>1906</v>
      </c>
      <c r="F144" s="250" t="s">
        <v>1907</v>
      </c>
      <c r="G144" s="251" t="s">
        <v>1901</v>
      </c>
      <c r="H144" s="252">
        <v>4</v>
      </c>
      <c r="I144" s="253"/>
      <c r="J144" s="254">
        <f t="shared" si="0"/>
        <v>0</v>
      </c>
      <c r="K144" s="255"/>
      <c r="L144" s="256"/>
      <c r="M144" s="257" t="s">
        <v>4</v>
      </c>
      <c r="N144" s="258" t="s">
        <v>1821</v>
      </c>
      <c r="P144" s="259">
        <f t="shared" si="1"/>
        <v>0</v>
      </c>
      <c r="Q144" s="259">
        <v>0</v>
      </c>
      <c r="R144" s="259">
        <f t="shared" si="2"/>
        <v>0</v>
      </c>
      <c r="S144" s="259">
        <v>0</v>
      </c>
      <c r="T144" s="260">
        <f t="shared" si="3"/>
        <v>0</v>
      </c>
      <c r="AR144" s="261" t="s">
        <v>321</v>
      </c>
      <c r="AT144" s="261" t="s">
        <v>1876</v>
      </c>
      <c r="AU144" s="261" t="s">
        <v>227</v>
      </c>
      <c r="AY144" s="167" t="s">
        <v>1873</v>
      </c>
      <c r="BE144" s="262">
        <f t="shared" si="4"/>
        <v>0</v>
      </c>
      <c r="BF144" s="262">
        <f t="shared" si="5"/>
        <v>0</v>
      </c>
      <c r="BG144" s="262">
        <f t="shared" si="6"/>
        <v>0</v>
      </c>
      <c r="BH144" s="262">
        <f t="shared" si="7"/>
        <v>0</v>
      </c>
      <c r="BI144" s="262">
        <f t="shared" si="8"/>
        <v>0</v>
      </c>
      <c r="BJ144" s="167" t="s">
        <v>219</v>
      </c>
      <c r="BK144" s="262">
        <f t="shared" si="9"/>
        <v>0</v>
      </c>
      <c r="BL144" s="167" t="s">
        <v>95</v>
      </c>
      <c r="BM144" s="261" t="s">
        <v>1908</v>
      </c>
    </row>
    <row r="145" spans="2:65" s="173" customFormat="1" ht="24.2" customHeight="1" x14ac:dyDescent="0.25">
      <c r="B145" s="247"/>
      <c r="C145" s="263" t="s">
        <v>258</v>
      </c>
      <c r="D145" s="263" t="s">
        <v>1881</v>
      </c>
      <c r="E145" s="264" t="s">
        <v>1909</v>
      </c>
      <c r="F145" s="265" t="s">
        <v>1904</v>
      </c>
      <c r="G145" s="266" t="s">
        <v>329</v>
      </c>
      <c r="H145" s="267">
        <v>26</v>
      </c>
      <c r="I145" s="268"/>
      <c r="J145" s="269">
        <f t="shared" si="0"/>
        <v>0</v>
      </c>
      <c r="K145" s="270"/>
      <c r="L145" s="174"/>
      <c r="M145" s="271" t="s">
        <v>4</v>
      </c>
      <c r="N145" s="272" t="s">
        <v>1821</v>
      </c>
      <c r="P145" s="259">
        <f t="shared" si="1"/>
        <v>0</v>
      </c>
      <c r="Q145" s="259">
        <v>0</v>
      </c>
      <c r="R145" s="259">
        <f t="shared" si="2"/>
        <v>0</v>
      </c>
      <c r="S145" s="259">
        <v>0</v>
      </c>
      <c r="T145" s="260">
        <f t="shared" si="3"/>
        <v>0</v>
      </c>
      <c r="AR145" s="261" t="s">
        <v>95</v>
      </c>
      <c r="AT145" s="261" t="s">
        <v>1881</v>
      </c>
      <c r="AU145" s="261" t="s">
        <v>227</v>
      </c>
      <c r="AY145" s="167" t="s">
        <v>1873</v>
      </c>
      <c r="BE145" s="262">
        <f t="shared" si="4"/>
        <v>0</v>
      </c>
      <c r="BF145" s="262">
        <f t="shared" si="5"/>
        <v>0</v>
      </c>
      <c r="BG145" s="262">
        <f t="shared" si="6"/>
        <v>0</v>
      </c>
      <c r="BH145" s="262">
        <f t="shared" si="7"/>
        <v>0</v>
      </c>
      <c r="BI145" s="262">
        <f t="shared" si="8"/>
        <v>0</v>
      </c>
      <c r="BJ145" s="167" t="s">
        <v>219</v>
      </c>
      <c r="BK145" s="262">
        <f t="shared" si="9"/>
        <v>0</v>
      </c>
      <c r="BL145" s="167" t="s">
        <v>95</v>
      </c>
      <c r="BM145" s="261" t="s">
        <v>1910</v>
      </c>
    </row>
    <row r="146" spans="2:65" s="173" customFormat="1" ht="37.9" customHeight="1" x14ac:dyDescent="0.25">
      <c r="B146" s="247"/>
      <c r="C146" s="248" t="s">
        <v>261</v>
      </c>
      <c r="D146" s="248" t="s">
        <v>1876</v>
      </c>
      <c r="E146" s="249" t="s">
        <v>1911</v>
      </c>
      <c r="F146" s="250" t="s">
        <v>1912</v>
      </c>
      <c r="G146" s="251" t="s">
        <v>1901</v>
      </c>
      <c r="H146" s="252">
        <v>26</v>
      </c>
      <c r="I146" s="253"/>
      <c r="J146" s="254">
        <f t="shared" si="0"/>
        <v>0</v>
      </c>
      <c r="K146" s="255"/>
      <c r="L146" s="256"/>
      <c r="M146" s="257" t="s">
        <v>4</v>
      </c>
      <c r="N146" s="258" t="s">
        <v>1821</v>
      </c>
      <c r="P146" s="259">
        <f t="shared" si="1"/>
        <v>0</v>
      </c>
      <c r="Q146" s="259">
        <v>0</v>
      </c>
      <c r="R146" s="259">
        <f t="shared" si="2"/>
        <v>0</v>
      </c>
      <c r="S146" s="259">
        <v>0</v>
      </c>
      <c r="T146" s="260">
        <f t="shared" si="3"/>
        <v>0</v>
      </c>
      <c r="AR146" s="261" t="s">
        <v>321</v>
      </c>
      <c r="AT146" s="261" t="s">
        <v>1876</v>
      </c>
      <c r="AU146" s="261" t="s">
        <v>227</v>
      </c>
      <c r="AY146" s="167" t="s">
        <v>1873</v>
      </c>
      <c r="BE146" s="262">
        <f t="shared" si="4"/>
        <v>0</v>
      </c>
      <c r="BF146" s="262">
        <f t="shared" si="5"/>
        <v>0</v>
      </c>
      <c r="BG146" s="262">
        <f t="shared" si="6"/>
        <v>0</v>
      </c>
      <c r="BH146" s="262">
        <f t="shared" si="7"/>
        <v>0</v>
      </c>
      <c r="BI146" s="262">
        <f t="shared" si="8"/>
        <v>0</v>
      </c>
      <c r="BJ146" s="167" t="s">
        <v>219</v>
      </c>
      <c r="BK146" s="262">
        <f t="shared" si="9"/>
        <v>0</v>
      </c>
      <c r="BL146" s="167" t="s">
        <v>95</v>
      </c>
      <c r="BM146" s="261" t="s">
        <v>1913</v>
      </c>
    </row>
    <row r="147" spans="2:65" s="173" customFormat="1" ht="24.2" customHeight="1" x14ac:dyDescent="0.25">
      <c r="B147" s="247"/>
      <c r="C147" s="263" t="s">
        <v>90</v>
      </c>
      <c r="D147" s="263" t="s">
        <v>1881</v>
      </c>
      <c r="E147" s="264" t="s">
        <v>1909</v>
      </c>
      <c r="F147" s="265" t="s">
        <v>1904</v>
      </c>
      <c r="G147" s="266" t="s">
        <v>329</v>
      </c>
      <c r="H147" s="267">
        <v>6</v>
      </c>
      <c r="I147" s="268"/>
      <c r="J147" s="269">
        <f t="shared" si="0"/>
        <v>0</v>
      </c>
      <c r="K147" s="270"/>
      <c r="L147" s="174"/>
      <c r="M147" s="271" t="s">
        <v>4</v>
      </c>
      <c r="N147" s="272" t="s">
        <v>1821</v>
      </c>
      <c r="P147" s="259">
        <f t="shared" si="1"/>
        <v>0</v>
      </c>
      <c r="Q147" s="259">
        <v>0</v>
      </c>
      <c r="R147" s="259">
        <f t="shared" si="2"/>
        <v>0</v>
      </c>
      <c r="S147" s="259">
        <v>0</v>
      </c>
      <c r="T147" s="260">
        <f t="shared" si="3"/>
        <v>0</v>
      </c>
      <c r="AR147" s="261" t="s">
        <v>95</v>
      </c>
      <c r="AT147" s="261" t="s">
        <v>1881</v>
      </c>
      <c r="AU147" s="261" t="s">
        <v>227</v>
      </c>
      <c r="AY147" s="167" t="s">
        <v>1873</v>
      </c>
      <c r="BE147" s="262">
        <f t="shared" si="4"/>
        <v>0</v>
      </c>
      <c r="BF147" s="262">
        <f t="shared" si="5"/>
        <v>0</v>
      </c>
      <c r="BG147" s="262">
        <f t="shared" si="6"/>
        <v>0</v>
      </c>
      <c r="BH147" s="262">
        <f t="shared" si="7"/>
        <v>0</v>
      </c>
      <c r="BI147" s="262">
        <f t="shared" si="8"/>
        <v>0</v>
      </c>
      <c r="BJ147" s="167" t="s">
        <v>219</v>
      </c>
      <c r="BK147" s="262">
        <f t="shared" si="9"/>
        <v>0</v>
      </c>
      <c r="BL147" s="167" t="s">
        <v>95</v>
      </c>
      <c r="BM147" s="261" t="s">
        <v>1914</v>
      </c>
    </row>
    <row r="148" spans="2:65" s="173" customFormat="1" ht="49.15" customHeight="1" x14ac:dyDescent="0.25">
      <c r="B148" s="247"/>
      <c r="C148" s="248" t="s">
        <v>266</v>
      </c>
      <c r="D148" s="248" t="s">
        <v>1876</v>
      </c>
      <c r="E148" s="249" t="s">
        <v>1915</v>
      </c>
      <c r="F148" s="250" t="s">
        <v>1916</v>
      </c>
      <c r="G148" s="251" t="s">
        <v>1901</v>
      </c>
      <c r="H148" s="252">
        <v>6</v>
      </c>
      <c r="I148" s="253"/>
      <c r="J148" s="254">
        <f t="shared" si="0"/>
        <v>0</v>
      </c>
      <c r="K148" s="255"/>
      <c r="L148" s="256"/>
      <c r="M148" s="257" t="s">
        <v>4</v>
      </c>
      <c r="N148" s="258" t="s">
        <v>1821</v>
      </c>
      <c r="P148" s="259">
        <f t="shared" si="1"/>
        <v>0</v>
      </c>
      <c r="Q148" s="259">
        <v>0</v>
      </c>
      <c r="R148" s="259">
        <f t="shared" si="2"/>
        <v>0</v>
      </c>
      <c r="S148" s="259">
        <v>0</v>
      </c>
      <c r="T148" s="260">
        <f t="shared" si="3"/>
        <v>0</v>
      </c>
      <c r="AR148" s="261" t="s">
        <v>321</v>
      </c>
      <c r="AT148" s="261" t="s">
        <v>1876</v>
      </c>
      <c r="AU148" s="261" t="s">
        <v>227</v>
      </c>
      <c r="AY148" s="167" t="s">
        <v>1873</v>
      </c>
      <c r="BE148" s="262">
        <f t="shared" si="4"/>
        <v>0</v>
      </c>
      <c r="BF148" s="262">
        <f t="shared" si="5"/>
        <v>0</v>
      </c>
      <c r="BG148" s="262">
        <f t="shared" si="6"/>
        <v>0</v>
      </c>
      <c r="BH148" s="262">
        <f t="shared" si="7"/>
        <v>0</v>
      </c>
      <c r="BI148" s="262">
        <f t="shared" si="8"/>
        <v>0</v>
      </c>
      <c r="BJ148" s="167" t="s">
        <v>219</v>
      </c>
      <c r="BK148" s="262">
        <f t="shared" si="9"/>
        <v>0</v>
      </c>
      <c r="BL148" s="167" t="s">
        <v>95</v>
      </c>
      <c r="BM148" s="261" t="s">
        <v>1917</v>
      </c>
    </row>
    <row r="149" spans="2:65" s="173" customFormat="1" ht="24.2" customHeight="1" x14ac:dyDescent="0.25">
      <c r="B149" s="247"/>
      <c r="C149" s="263" t="s">
        <v>93</v>
      </c>
      <c r="D149" s="263" t="s">
        <v>1881</v>
      </c>
      <c r="E149" s="264" t="s">
        <v>1909</v>
      </c>
      <c r="F149" s="265" t="s">
        <v>1904</v>
      </c>
      <c r="G149" s="266" t="s">
        <v>329</v>
      </c>
      <c r="H149" s="267">
        <v>2</v>
      </c>
      <c r="I149" s="268"/>
      <c r="J149" s="269">
        <f t="shared" si="0"/>
        <v>0</v>
      </c>
      <c r="K149" s="270"/>
      <c r="L149" s="174"/>
      <c r="M149" s="271" t="s">
        <v>4</v>
      </c>
      <c r="N149" s="272" t="s">
        <v>1821</v>
      </c>
      <c r="P149" s="259">
        <f t="shared" si="1"/>
        <v>0</v>
      </c>
      <c r="Q149" s="259">
        <v>0</v>
      </c>
      <c r="R149" s="259">
        <f t="shared" si="2"/>
        <v>0</v>
      </c>
      <c r="S149" s="259">
        <v>0</v>
      </c>
      <c r="T149" s="260">
        <f t="shared" si="3"/>
        <v>0</v>
      </c>
      <c r="AR149" s="261" t="s">
        <v>95</v>
      </c>
      <c r="AT149" s="261" t="s">
        <v>1881</v>
      </c>
      <c r="AU149" s="261" t="s">
        <v>227</v>
      </c>
      <c r="AY149" s="167" t="s">
        <v>1873</v>
      </c>
      <c r="BE149" s="262">
        <f t="shared" si="4"/>
        <v>0</v>
      </c>
      <c r="BF149" s="262">
        <f t="shared" si="5"/>
        <v>0</v>
      </c>
      <c r="BG149" s="262">
        <f t="shared" si="6"/>
        <v>0</v>
      </c>
      <c r="BH149" s="262">
        <f t="shared" si="7"/>
        <v>0</v>
      </c>
      <c r="BI149" s="262">
        <f t="shared" si="8"/>
        <v>0</v>
      </c>
      <c r="BJ149" s="167" t="s">
        <v>219</v>
      </c>
      <c r="BK149" s="262">
        <f t="shared" si="9"/>
        <v>0</v>
      </c>
      <c r="BL149" s="167" t="s">
        <v>95</v>
      </c>
      <c r="BM149" s="261" t="s">
        <v>1918</v>
      </c>
    </row>
    <row r="150" spans="2:65" s="173" customFormat="1" ht="49.5" customHeight="1" x14ac:dyDescent="0.25">
      <c r="B150" s="247"/>
      <c r="C150" s="248" t="s">
        <v>95</v>
      </c>
      <c r="D150" s="248" t="s">
        <v>1876</v>
      </c>
      <c r="E150" s="249" t="s">
        <v>1919</v>
      </c>
      <c r="F150" s="250" t="s">
        <v>1920</v>
      </c>
      <c r="G150" s="251" t="s">
        <v>1901</v>
      </c>
      <c r="H150" s="252">
        <v>2</v>
      </c>
      <c r="I150" s="253"/>
      <c r="J150" s="254">
        <f t="shared" si="0"/>
        <v>0</v>
      </c>
      <c r="K150" s="255"/>
      <c r="L150" s="256"/>
      <c r="M150" s="257" t="s">
        <v>4</v>
      </c>
      <c r="N150" s="258" t="s">
        <v>1821</v>
      </c>
      <c r="P150" s="259">
        <f t="shared" si="1"/>
        <v>0</v>
      </c>
      <c r="Q150" s="259">
        <v>0</v>
      </c>
      <c r="R150" s="259">
        <f t="shared" si="2"/>
        <v>0</v>
      </c>
      <c r="S150" s="259">
        <v>0</v>
      </c>
      <c r="T150" s="260">
        <f t="shared" si="3"/>
        <v>0</v>
      </c>
      <c r="AR150" s="261" t="s">
        <v>321</v>
      </c>
      <c r="AT150" s="261" t="s">
        <v>1876</v>
      </c>
      <c r="AU150" s="261" t="s">
        <v>227</v>
      </c>
      <c r="AY150" s="167" t="s">
        <v>1873</v>
      </c>
      <c r="BE150" s="262">
        <f t="shared" si="4"/>
        <v>0</v>
      </c>
      <c r="BF150" s="262">
        <f t="shared" si="5"/>
        <v>0</v>
      </c>
      <c r="BG150" s="262">
        <f t="shared" si="6"/>
        <v>0</v>
      </c>
      <c r="BH150" s="262">
        <f t="shared" si="7"/>
        <v>0</v>
      </c>
      <c r="BI150" s="262">
        <f t="shared" si="8"/>
        <v>0</v>
      </c>
      <c r="BJ150" s="167" t="s">
        <v>219</v>
      </c>
      <c r="BK150" s="262">
        <f t="shared" si="9"/>
        <v>0</v>
      </c>
      <c r="BL150" s="167" t="s">
        <v>95</v>
      </c>
      <c r="BM150" s="261" t="s">
        <v>1921</v>
      </c>
    </row>
    <row r="151" spans="2:65" s="173" customFormat="1" ht="24.2" customHeight="1" x14ac:dyDescent="0.25">
      <c r="B151" s="247"/>
      <c r="C151" s="263" t="s">
        <v>97</v>
      </c>
      <c r="D151" s="263" t="s">
        <v>1881</v>
      </c>
      <c r="E151" s="264" t="s">
        <v>1922</v>
      </c>
      <c r="F151" s="265" t="s">
        <v>1923</v>
      </c>
      <c r="G151" s="266" t="s">
        <v>329</v>
      </c>
      <c r="H151" s="267">
        <v>2</v>
      </c>
      <c r="I151" s="268"/>
      <c r="J151" s="269">
        <f t="shared" si="0"/>
        <v>0</v>
      </c>
      <c r="K151" s="270"/>
      <c r="L151" s="174"/>
      <c r="M151" s="271" t="s">
        <v>4</v>
      </c>
      <c r="N151" s="272" t="s">
        <v>1821</v>
      </c>
      <c r="P151" s="259">
        <f t="shared" si="1"/>
        <v>0</v>
      </c>
      <c r="Q151" s="259">
        <v>0</v>
      </c>
      <c r="R151" s="259">
        <f t="shared" si="2"/>
        <v>0</v>
      </c>
      <c r="S151" s="259">
        <v>0</v>
      </c>
      <c r="T151" s="260">
        <f t="shared" si="3"/>
        <v>0</v>
      </c>
      <c r="AR151" s="261" t="s">
        <v>95</v>
      </c>
      <c r="AT151" s="261" t="s">
        <v>1881</v>
      </c>
      <c r="AU151" s="261" t="s">
        <v>227</v>
      </c>
      <c r="AY151" s="167" t="s">
        <v>1873</v>
      </c>
      <c r="BE151" s="262">
        <f t="shared" si="4"/>
        <v>0</v>
      </c>
      <c r="BF151" s="262">
        <f t="shared" si="5"/>
        <v>0</v>
      </c>
      <c r="BG151" s="262">
        <f t="shared" si="6"/>
        <v>0</v>
      </c>
      <c r="BH151" s="262">
        <f t="shared" si="7"/>
        <v>0</v>
      </c>
      <c r="BI151" s="262">
        <f t="shared" si="8"/>
        <v>0</v>
      </c>
      <c r="BJ151" s="167" t="s">
        <v>219</v>
      </c>
      <c r="BK151" s="262">
        <f t="shared" si="9"/>
        <v>0</v>
      </c>
      <c r="BL151" s="167" t="s">
        <v>95</v>
      </c>
      <c r="BM151" s="261" t="s">
        <v>1924</v>
      </c>
    </row>
    <row r="152" spans="2:65" s="173" customFormat="1" ht="37.9" customHeight="1" x14ac:dyDescent="0.25">
      <c r="B152" s="247"/>
      <c r="C152" s="248" t="s">
        <v>99</v>
      </c>
      <c r="D152" s="248" t="s">
        <v>1876</v>
      </c>
      <c r="E152" s="249" t="s">
        <v>1925</v>
      </c>
      <c r="F152" s="250" t="s">
        <v>1926</v>
      </c>
      <c r="G152" s="251" t="s">
        <v>1695</v>
      </c>
      <c r="H152" s="252">
        <v>2</v>
      </c>
      <c r="I152" s="253"/>
      <c r="J152" s="254">
        <f t="shared" si="0"/>
        <v>0</v>
      </c>
      <c r="K152" s="255"/>
      <c r="L152" s="256"/>
      <c r="M152" s="257" t="s">
        <v>4</v>
      </c>
      <c r="N152" s="258" t="s">
        <v>1821</v>
      </c>
      <c r="P152" s="259">
        <f t="shared" si="1"/>
        <v>0</v>
      </c>
      <c r="Q152" s="259">
        <v>0</v>
      </c>
      <c r="R152" s="259">
        <f t="shared" si="2"/>
        <v>0</v>
      </c>
      <c r="S152" s="259">
        <v>0</v>
      </c>
      <c r="T152" s="260">
        <f t="shared" si="3"/>
        <v>0</v>
      </c>
      <c r="AR152" s="261" t="s">
        <v>321</v>
      </c>
      <c r="AT152" s="261" t="s">
        <v>1876</v>
      </c>
      <c r="AU152" s="261" t="s">
        <v>227</v>
      </c>
      <c r="AY152" s="167" t="s">
        <v>1873</v>
      </c>
      <c r="BE152" s="262">
        <f t="shared" si="4"/>
        <v>0</v>
      </c>
      <c r="BF152" s="262">
        <f t="shared" si="5"/>
        <v>0</v>
      </c>
      <c r="BG152" s="262">
        <f t="shared" si="6"/>
        <v>0</v>
      </c>
      <c r="BH152" s="262">
        <f t="shared" si="7"/>
        <v>0</v>
      </c>
      <c r="BI152" s="262">
        <f t="shared" si="8"/>
        <v>0</v>
      </c>
      <c r="BJ152" s="167" t="s">
        <v>219</v>
      </c>
      <c r="BK152" s="262">
        <f t="shared" si="9"/>
        <v>0</v>
      </c>
      <c r="BL152" s="167" t="s">
        <v>95</v>
      </c>
      <c r="BM152" s="261" t="s">
        <v>1927</v>
      </c>
    </row>
    <row r="153" spans="2:65" s="173" customFormat="1" ht="24.2" customHeight="1" x14ac:dyDescent="0.25">
      <c r="B153" s="247"/>
      <c r="C153" s="263" t="s">
        <v>101</v>
      </c>
      <c r="D153" s="263" t="s">
        <v>1881</v>
      </c>
      <c r="E153" s="264" t="s">
        <v>1928</v>
      </c>
      <c r="F153" s="265" t="s">
        <v>1929</v>
      </c>
      <c r="G153" s="266" t="s">
        <v>329</v>
      </c>
      <c r="H153" s="267">
        <v>1</v>
      </c>
      <c r="I153" s="268"/>
      <c r="J153" s="269">
        <f t="shared" si="0"/>
        <v>0</v>
      </c>
      <c r="K153" s="270"/>
      <c r="L153" s="174"/>
      <c r="M153" s="271" t="s">
        <v>4</v>
      </c>
      <c r="N153" s="272" t="s">
        <v>1821</v>
      </c>
      <c r="P153" s="259">
        <f t="shared" si="1"/>
        <v>0</v>
      </c>
      <c r="Q153" s="259">
        <v>0</v>
      </c>
      <c r="R153" s="259">
        <f t="shared" si="2"/>
        <v>0</v>
      </c>
      <c r="S153" s="259">
        <v>0</v>
      </c>
      <c r="T153" s="260">
        <f t="shared" si="3"/>
        <v>0</v>
      </c>
      <c r="AR153" s="261" t="s">
        <v>95</v>
      </c>
      <c r="AT153" s="261" t="s">
        <v>1881</v>
      </c>
      <c r="AU153" s="261" t="s">
        <v>227</v>
      </c>
      <c r="AY153" s="167" t="s">
        <v>1873</v>
      </c>
      <c r="BE153" s="262">
        <f t="shared" si="4"/>
        <v>0</v>
      </c>
      <c r="BF153" s="262">
        <f t="shared" si="5"/>
        <v>0</v>
      </c>
      <c r="BG153" s="262">
        <f t="shared" si="6"/>
        <v>0</v>
      </c>
      <c r="BH153" s="262">
        <f t="shared" si="7"/>
        <v>0</v>
      </c>
      <c r="BI153" s="262">
        <f t="shared" si="8"/>
        <v>0</v>
      </c>
      <c r="BJ153" s="167" t="s">
        <v>219</v>
      </c>
      <c r="BK153" s="262">
        <f t="shared" si="9"/>
        <v>0</v>
      </c>
      <c r="BL153" s="167" t="s">
        <v>95</v>
      </c>
      <c r="BM153" s="261" t="s">
        <v>1930</v>
      </c>
    </row>
    <row r="154" spans="2:65" s="234" customFormat="1" ht="22.9" customHeight="1" x14ac:dyDescent="0.2">
      <c r="B154" s="235"/>
      <c r="D154" s="236" t="s">
        <v>1870</v>
      </c>
      <c r="E154" s="245" t="s">
        <v>1931</v>
      </c>
      <c r="F154" s="245" t="s">
        <v>1932</v>
      </c>
      <c r="I154" s="238"/>
      <c r="J154" s="246">
        <f>BK154</f>
        <v>0</v>
      </c>
      <c r="L154" s="235"/>
      <c r="M154" s="240"/>
      <c r="P154" s="241">
        <f>SUM(P155:P161)</f>
        <v>0</v>
      </c>
      <c r="R154" s="241">
        <f>SUM(R155:R161)</f>
        <v>1.008E-2</v>
      </c>
      <c r="T154" s="242">
        <f>SUM(T155:T161)</f>
        <v>0</v>
      </c>
      <c r="AR154" s="236" t="s">
        <v>227</v>
      </c>
      <c r="AT154" s="243" t="s">
        <v>1870</v>
      </c>
      <c r="AU154" s="243" t="s">
        <v>219</v>
      </c>
      <c r="AY154" s="236" t="s">
        <v>1873</v>
      </c>
      <c r="BK154" s="244">
        <f>SUM(BK155:BK161)</f>
        <v>0</v>
      </c>
    </row>
    <row r="155" spans="2:65" s="173" customFormat="1" ht="16.5" customHeight="1" x14ac:dyDescent="0.25">
      <c r="B155" s="247"/>
      <c r="C155" s="248" t="s">
        <v>285</v>
      </c>
      <c r="D155" s="248" t="s">
        <v>1876</v>
      </c>
      <c r="E155" s="249" t="s">
        <v>1933</v>
      </c>
      <c r="F155" s="250" t="s">
        <v>1934</v>
      </c>
      <c r="G155" s="251" t="s">
        <v>783</v>
      </c>
      <c r="H155" s="252">
        <v>80</v>
      </c>
      <c r="I155" s="253"/>
      <c r="J155" s="254">
        <f t="shared" ref="J155:J161" si="10">ROUND(I155*H155,2)</f>
        <v>0</v>
      </c>
      <c r="K155" s="255"/>
      <c r="L155" s="256"/>
      <c r="M155" s="257" t="s">
        <v>4</v>
      </c>
      <c r="N155" s="258" t="s">
        <v>1821</v>
      </c>
      <c r="P155" s="259">
        <f t="shared" ref="P155:P161" si="11">O155*H155</f>
        <v>0</v>
      </c>
      <c r="Q155" s="259">
        <v>0</v>
      </c>
      <c r="R155" s="259">
        <f t="shared" ref="R155:R161" si="12">Q155*H155</f>
        <v>0</v>
      </c>
      <c r="S155" s="259">
        <v>0</v>
      </c>
      <c r="T155" s="260">
        <f t="shared" ref="T155:T161" si="13">S155*H155</f>
        <v>0</v>
      </c>
      <c r="AR155" s="261" t="s">
        <v>1009</v>
      </c>
      <c r="AT155" s="261" t="s">
        <v>1876</v>
      </c>
      <c r="AU155" s="261" t="s">
        <v>227</v>
      </c>
      <c r="AY155" s="167" t="s">
        <v>1873</v>
      </c>
      <c r="BE155" s="262">
        <f t="shared" ref="BE155:BE161" si="14">IF(N155="základní",J155,0)</f>
        <v>0</v>
      </c>
      <c r="BF155" s="262">
        <f t="shared" ref="BF155:BF161" si="15">IF(N155="snížená",J155,0)</f>
        <v>0</v>
      </c>
      <c r="BG155" s="262">
        <f t="shared" ref="BG155:BG161" si="16">IF(N155="zákl. přenesená",J155,0)</f>
        <v>0</v>
      </c>
      <c r="BH155" s="262">
        <f t="shared" ref="BH155:BH161" si="17">IF(N155="sníž. přenesená",J155,0)</f>
        <v>0</v>
      </c>
      <c r="BI155" s="262">
        <f t="shared" ref="BI155:BI161" si="18">IF(N155="nulová",J155,0)</f>
        <v>0</v>
      </c>
      <c r="BJ155" s="167" t="s">
        <v>219</v>
      </c>
      <c r="BK155" s="262">
        <f t="shared" ref="BK155:BK161" si="19">ROUND(I155*H155,2)</f>
        <v>0</v>
      </c>
      <c r="BL155" s="167" t="s">
        <v>127</v>
      </c>
      <c r="BM155" s="261" t="s">
        <v>1935</v>
      </c>
    </row>
    <row r="156" spans="2:65" s="173" customFormat="1" ht="24.2" customHeight="1" x14ac:dyDescent="0.25">
      <c r="B156" s="247"/>
      <c r="C156" s="263" t="s">
        <v>103</v>
      </c>
      <c r="D156" s="263" t="s">
        <v>1881</v>
      </c>
      <c r="E156" s="264" t="s">
        <v>1936</v>
      </c>
      <c r="F156" s="265" t="s">
        <v>1937</v>
      </c>
      <c r="G156" s="266" t="s">
        <v>329</v>
      </c>
      <c r="H156" s="267">
        <v>1</v>
      </c>
      <c r="I156" s="268"/>
      <c r="J156" s="269">
        <f t="shared" si="10"/>
        <v>0</v>
      </c>
      <c r="K156" s="270"/>
      <c r="L156" s="174"/>
      <c r="M156" s="271" t="s">
        <v>4</v>
      </c>
      <c r="N156" s="272" t="s">
        <v>1821</v>
      </c>
      <c r="P156" s="259">
        <f t="shared" si="11"/>
        <v>0</v>
      </c>
      <c r="Q156" s="259">
        <v>0</v>
      </c>
      <c r="R156" s="259">
        <f t="shared" si="12"/>
        <v>0</v>
      </c>
      <c r="S156" s="259">
        <v>0</v>
      </c>
      <c r="T156" s="260">
        <f t="shared" si="13"/>
        <v>0</v>
      </c>
      <c r="AR156" s="261" t="s">
        <v>95</v>
      </c>
      <c r="AT156" s="261" t="s">
        <v>1881</v>
      </c>
      <c r="AU156" s="261" t="s">
        <v>227</v>
      </c>
      <c r="AY156" s="167" t="s">
        <v>1873</v>
      </c>
      <c r="BE156" s="262">
        <f t="shared" si="14"/>
        <v>0</v>
      </c>
      <c r="BF156" s="262">
        <f t="shared" si="15"/>
        <v>0</v>
      </c>
      <c r="BG156" s="262">
        <f t="shared" si="16"/>
        <v>0</v>
      </c>
      <c r="BH156" s="262">
        <f t="shared" si="17"/>
        <v>0</v>
      </c>
      <c r="BI156" s="262">
        <f t="shared" si="18"/>
        <v>0</v>
      </c>
      <c r="BJ156" s="167" t="s">
        <v>219</v>
      </c>
      <c r="BK156" s="262">
        <f t="shared" si="19"/>
        <v>0</v>
      </c>
      <c r="BL156" s="167" t="s">
        <v>95</v>
      </c>
      <c r="BM156" s="261" t="s">
        <v>1938</v>
      </c>
    </row>
    <row r="157" spans="2:65" s="173" customFormat="1" ht="16.5" customHeight="1" x14ac:dyDescent="0.25">
      <c r="B157" s="247"/>
      <c r="C157" s="248" t="s">
        <v>290</v>
      </c>
      <c r="D157" s="248" t="s">
        <v>1876</v>
      </c>
      <c r="E157" s="249" t="s">
        <v>1939</v>
      </c>
      <c r="F157" s="250" t="s">
        <v>1940</v>
      </c>
      <c r="G157" s="251" t="s">
        <v>1901</v>
      </c>
      <c r="H157" s="252">
        <v>1</v>
      </c>
      <c r="I157" s="253"/>
      <c r="J157" s="254">
        <f t="shared" si="10"/>
        <v>0</v>
      </c>
      <c r="K157" s="255"/>
      <c r="L157" s="256"/>
      <c r="M157" s="257" t="s">
        <v>4</v>
      </c>
      <c r="N157" s="258" t="s">
        <v>1821</v>
      </c>
      <c r="P157" s="259">
        <f t="shared" si="11"/>
        <v>0</v>
      </c>
      <c r="Q157" s="259">
        <v>0</v>
      </c>
      <c r="R157" s="259">
        <f t="shared" si="12"/>
        <v>0</v>
      </c>
      <c r="S157" s="259">
        <v>0</v>
      </c>
      <c r="T157" s="260">
        <f t="shared" si="13"/>
        <v>0</v>
      </c>
      <c r="AR157" s="261" t="s">
        <v>321</v>
      </c>
      <c r="AT157" s="261" t="s">
        <v>1876</v>
      </c>
      <c r="AU157" s="261" t="s">
        <v>227</v>
      </c>
      <c r="AY157" s="167" t="s">
        <v>1873</v>
      </c>
      <c r="BE157" s="262">
        <f t="shared" si="14"/>
        <v>0</v>
      </c>
      <c r="BF157" s="262">
        <f t="shared" si="15"/>
        <v>0</v>
      </c>
      <c r="BG157" s="262">
        <f t="shared" si="16"/>
        <v>0</v>
      </c>
      <c r="BH157" s="262">
        <f t="shared" si="17"/>
        <v>0</v>
      </c>
      <c r="BI157" s="262">
        <f t="shared" si="18"/>
        <v>0</v>
      </c>
      <c r="BJ157" s="167" t="s">
        <v>219</v>
      </c>
      <c r="BK157" s="262">
        <f t="shared" si="19"/>
        <v>0</v>
      </c>
      <c r="BL157" s="167" t="s">
        <v>95</v>
      </c>
      <c r="BM157" s="261" t="s">
        <v>1941</v>
      </c>
    </row>
    <row r="158" spans="2:65" s="173" customFormat="1" ht="24.2" customHeight="1" x14ac:dyDescent="0.25">
      <c r="B158" s="247"/>
      <c r="C158" s="263" t="s">
        <v>293</v>
      </c>
      <c r="D158" s="263" t="s">
        <v>1881</v>
      </c>
      <c r="E158" s="264" t="s">
        <v>1942</v>
      </c>
      <c r="F158" s="265" t="s">
        <v>1943</v>
      </c>
      <c r="G158" s="266" t="s">
        <v>329</v>
      </c>
      <c r="H158" s="267">
        <v>1</v>
      </c>
      <c r="I158" s="268"/>
      <c r="J158" s="269">
        <f t="shared" si="10"/>
        <v>0</v>
      </c>
      <c r="K158" s="270"/>
      <c r="L158" s="174"/>
      <c r="M158" s="271" t="s">
        <v>4</v>
      </c>
      <c r="N158" s="272" t="s">
        <v>1821</v>
      </c>
      <c r="P158" s="259">
        <f t="shared" si="11"/>
        <v>0</v>
      </c>
      <c r="Q158" s="259">
        <v>0</v>
      </c>
      <c r="R158" s="259">
        <f t="shared" si="12"/>
        <v>0</v>
      </c>
      <c r="S158" s="259">
        <v>0</v>
      </c>
      <c r="T158" s="260">
        <f t="shared" si="13"/>
        <v>0</v>
      </c>
      <c r="AR158" s="261" t="s">
        <v>95</v>
      </c>
      <c r="AT158" s="261" t="s">
        <v>1881</v>
      </c>
      <c r="AU158" s="261" t="s">
        <v>227</v>
      </c>
      <c r="AY158" s="167" t="s">
        <v>1873</v>
      </c>
      <c r="BE158" s="262">
        <f t="shared" si="14"/>
        <v>0</v>
      </c>
      <c r="BF158" s="262">
        <f t="shared" si="15"/>
        <v>0</v>
      </c>
      <c r="BG158" s="262">
        <f t="shared" si="16"/>
        <v>0</v>
      </c>
      <c r="BH158" s="262">
        <f t="shared" si="17"/>
        <v>0</v>
      </c>
      <c r="BI158" s="262">
        <f t="shared" si="18"/>
        <v>0</v>
      </c>
      <c r="BJ158" s="167" t="s">
        <v>219</v>
      </c>
      <c r="BK158" s="262">
        <f t="shared" si="19"/>
        <v>0</v>
      </c>
      <c r="BL158" s="167" t="s">
        <v>95</v>
      </c>
      <c r="BM158" s="261" t="s">
        <v>1944</v>
      </c>
    </row>
    <row r="159" spans="2:65" s="173" customFormat="1" ht="24.2" customHeight="1" x14ac:dyDescent="0.25">
      <c r="B159" s="247"/>
      <c r="C159" s="248" t="s">
        <v>297</v>
      </c>
      <c r="D159" s="248" t="s">
        <v>1876</v>
      </c>
      <c r="E159" s="249" t="s">
        <v>1945</v>
      </c>
      <c r="F159" s="250" t="s">
        <v>1946</v>
      </c>
      <c r="G159" s="251" t="s">
        <v>329</v>
      </c>
      <c r="H159" s="252">
        <v>1</v>
      </c>
      <c r="I159" s="253"/>
      <c r="J159" s="254">
        <f t="shared" si="10"/>
        <v>0</v>
      </c>
      <c r="K159" s="255"/>
      <c r="L159" s="256"/>
      <c r="M159" s="257" t="s">
        <v>4</v>
      </c>
      <c r="N159" s="258" t="s">
        <v>1821</v>
      </c>
      <c r="P159" s="259">
        <f t="shared" si="11"/>
        <v>0</v>
      </c>
      <c r="Q159" s="259">
        <v>0.01</v>
      </c>
      <c r="R159" s="259">
        <f t="shared" si="12"/>
        <v>0.01</v>
      </c>
      <c r="S159" s="259">
        <v>0</v>
      </c>
      <c r="T159" s="260">
        <f t="shared" si="13"/>
        <v>0</v>
      </c>
      <c r="AR159" s="261" t="s">
        <v>321</v>
      </c>
      <c r="AT159" s="261" t="s">
        <v>1876</v>
      </c>
      <c r="AU159" s="261" t="s">
        <v>227</v>
      </c>
      <c r="AY159" s="167" t="s">
        <v>1873</v>
      </c>
      <c r="BE159" s="262">
        <f t="shared" si="14"/>
        <v>0</v>
      </c>
      <c r="BF159" s="262">
        <f t="shared" si="15"/>
        <v>0</v>
      </c>
      <c r="BG159" s="262">
        <f t="shared" si="16"/>
        <v>0</v>
      </c>
      <c r="BH159" s="262">
        <f t="shared" si="17"/>
        <v>0</v>
      </c>
      <c r="BI159" s="262">
        <f t="shared" si="18"/>
        <v>0</v>
      </c>
      <c r="BJ159" s="167" t="s">
        <v>219</v>
      </c>
      <c r="BK159" s="262">
        <f t="shared" si="19"/>
        <v>0</v>
      </c>
      <c r="BL159" s="167" t="s">
        <v>95</v>
      </c>
      <c r="BM159" s="261" t="s">
        <v>1947</v>
      </c>
    </row>
    <row r="160" spans="2:65" s="173" customFormat="1" ht="16.5" customHeight="1" x14ac:dyDescent="0.25">
      <c r="B160" s="247"/>
      <c r="C160" s="263" t="s">
        <v>300</v>
      </c>
      <c r="D160" s="263" t="s">
        <v>1881</v>
      </c>
      <c r="E160" s="264" t="s">
        <v>1948</v>
      </c>
      <c r="F160" s="265" t="s">
        <v>1949</v>
      </c>
      <c r="G160" s="266" t="s">
        <v>329</v>
      </c>
      <c r="H160" s="267">
        <v>8</v>
      </c>
      <c r="I160" s="268"/>
      <c r="J160" s="269">
        <f t="shared" si="10"/>
        <v>0</v>
      </c>
      <c r="K160" s="270"/>
      <c r="L160" s="174"/>
      <c r="M160" s="271" t="s">
        <v>4</v>
      </c>
      <c r="N160" s="272" t="s">
        <v>1821</v>
      </c>
      <c r="P160" s="259">
        <f t="shared" si="11"/>
        <v>0</v>
      </c>
      <c r="Q160" s="259">
        <v>0</v>
      </c>
      <c r="R160" s="259">
        <f t="shared" si="12"/>
        <v>0</v>
      </c>
      <c r="S160" s="259">
        <v>0</v>
      </c>
      <c r="T160" s="260">
        <f t="shared" si="13"/>
        <v>0</v>
      </c>
      <c r="AR160" s="261" t="s">
        <v>95</v>
      </c>
      <c r="AT160" s="261" t="s">
        <v>1881</v>
      </c>
      <c r="AU160" s="261" t="s">
        <v>227</v>
      </c>
      <c r="AY160" s="167" t="s">
        <v>1873</v>
      </c>
      <c r="BE160" s="262">
        <f t="shared" si="14"/>
        <v>0</v>
      </c>
      <c r="BF160" s="262">
        <f t="shared" si="15"/>
        <v>0</v>
      </c>
      <c r="BG160" s="262">
        <f t="shared" si="16"/>
        <v>0</v>
      </c>
      <c r="BH160" s="262">
        <f t="shared" si="17"/>
        <v>0</v>
      </c>
      <c r="BI160" s="262">
        <f t="shared" si="18"/>
        <v>0</v>
      </c>
      <c r="BJ160" s="167" t="s">
        <v>219</v>
      </c>
      <c r="BK160" s="262">
        <f t="shared" si="19"/>
        <v>0</v>
      </c>
      <c r="BL160" s="167" t="s">
        <v>95</v>
      </c>
      <c r="BM160" s="261" t="s">
        <v>1950</v>
      </c>
    </row>
    <row r="161" spans="2:65" s="173" customFormat="1" ht="16.5" customHeight="1" x14ac:dyDescent="0.25">
      <c r="B161" s="247"/>
      <c r="C161" s="248" t="s">
        <v>303</v>
      </c>
      <c r="D161" s="248" t="s">
        <v>1876</v>
      </c>
      <c r="E161" s="249" t="s">
        <v>1951</v>
      </c>
      <c r="F161" s="250" t="s">
        <v>1952</v>
      </c>
      <c r="G161" s="251" t="s">
        <v>329</v>
      </c>
      <c r="H161" s="252">
        <v>8</v>
      </c>
      <c r="I161" s="253"/>
      <c r="J161" s="254">
        <f t="shared" si="10"/>
        <v>0</v>
      </c>
      <c r="K161" s="255"/>
      <c r="L161" s="256"/>
      <c r="M161" s="257" t="s">
        <v>4</v>
      </c>
      <c r="N161" s="258" t="s">
        <v>1821</v>
      </c>
      <c r="P161" s="259">
        <f t="shared" si="11"/>
        <v>0</v>
      </c>
      <c r="Q161" s="259">
        <v>1.0000000000000001E-5</v>
      </c>
      <c r="R161" s="259">
        <f t="shared" si="12"/>
        <v>8.0000000000000007E-5</v>
      </c>
      <c r="S161" s="259">
        <v>0</v>
      </c>
      <c r="T161" s="260">
        <f t="shared" si="13"/>
        <v>0</v>
      </c>
      <c r="AR161" s="261" t="s">
        <v>321</v>
      </c>
      <c r="AT161" s="261" t="s">
        <v>1876</v>
      </c>
      <c r="AU161" s="261" t="s">
        <v>227</v>
      </c>
      <c r="AY161" s="167" t="s">
        <v>1873</v>
      </c>
      <c r="BE161" s="262">
        <f t="shared" si="14"/>
        <v>0</v>
      </c>
      <c r="BF161" s="262">
        <f t="shared" si="15"/>
        <v>0</v>
      </c>
      <c r="BG161" s="262">
        <f t="shared" si="16"/>
        <v>0</v>
      </c>
      <c r="BH161" s="262">
        <f t="shared" si="17"/>
        <v>0</v>
      </c>
      <c r="BI161" s="262">
        <f t="shared" si="18"/>
        <v>0</v>
      </c>
      <c r="BJ161" s="167" t="s">
        <v>219</v>
      </c>
      <c r="BK161" s="262">
        <f t="shared" si="19"/>
        <v>0</v>
      </c>
      <c r="BL161" s="167" t="s">
        <v>95</v>
      </c>
      <c r="BM161" s="261" t="s">
        <v>1953</v>
      </c>
    </row>
    <row r="162" spans="2:65" s="234" customFormat="1" ht="22.9" customHeight="1" x14ac:dyDescent="0.2">
      <c r="B162" s="235"/>
      <c r="D162" s="236" t="s">
        <v>1870</v>
      </c>
      <c r="E162" s="245" t="s">
        <v>1954</v>
      </c>
      <c r="F162" s="245" t="s">
        <v>1955</v>
      </c>
      <c r="I162" s="238"/>
      <c r="J162" s="246">
        <f>BK162</f>
        <v>0</v>
      </c>
      <c r="L162" s="235"/>
      <c r="M162" s="240"/>
      <c r="P162" s="241">
        <f>SUM(P163:P178)</f>
        <v>0</v>
      </c>
      <c r="R162" s="241">
        <f>SUM(R163:R178)</f>
        <v>6.1600000000000002E-2</v>
      </c>
      <c r="T162" s="242">
        <f>SUM(T163:T178)</f>
        <v>0</v>
      </c>
      <c r="AR162" s="236" t="s">
        <v>227</v>
      </c>
      <c r="AT162" s="243" t="s">
        <v>1870</v>
      </c>
      <c r="AU162" s="243" t="s">
        <v>219</v>
      </c>
      <c r="AY162" s="236" t="s">
        <v>1873</v>
      </c>
      <c r="BK162" s="244">
        <f>SUM(BK163:BK178)</f>
        <v>0</v>
      </c>
    </row>
    <row r="163" spans="2:65" s="173" customFormat="1" ht="24.2" customHeight="1" x14ac:dyDescent="0.25">
      <c r="B163" s="247"/>
      <c r="C163" s="263" t="s">
        <v>105</v>
      </c>
      <c r="D163" s="263" t="s">
        <v>1881</v>
      </c>
      <c r="E163" s="264" t="s">
        <v>1956</v>
      </c>
      <c r="F163" s="265" t="s">
        <v>1957</v>
      </c>
      <c r="G163" s="266" t="s">
        <v>333</v>
      </c>
      <c r="H163" s="267">
        <v>385</v>
      </c>
      <c r="I163" s="268"/>
      <c r="J163" s="269">
        <f t="shared" ref="J163:J178" si="20">ROUND(I163*H163,2)</f>
        <v>0</v>
      </c>
      <c r="K163" s="270"/>
      <c r="L163" s="174"/>
      <c r="M163" s="271" t="s">
        <v>4</v>
      </c>
      <c r="N163" s="272" t="s">
        <v>1821</v>
      </c>
      <c r="P163" s="259">
        <f t="shared" ref="P163:P178" si="21">O163*H163</f>
        <v>0</v>
      </c>
      <c r="Q163" s="259">
        <v>0</v>
      </c>
      <c r="R163" s="259">
        <f t="shared" ref="R163:R178" si="22">Q163*H163</f>
        <v>0</v>
      </c>
      <c r="S163" s="259">
        <v>0</v>
      </c>
      <c r="T163" s="260">
        <f t="shared" ref="T163:T178" si="23">S163*H163</f>
        <v>0</v>
      </c>
      <c r="AR163" s="261" t="s">
        <v>127</v>
      </c>
      <c r="AT163" s="261" t="s">
        <v>1881</v>
      </c>
      <c r="AU163" s="261" t="s">
        <v>227</v>
      </c>
      <c r="AY163" s="167" t="s">
        <v>1873</v>
      </c>
      <c r="BE163" s="262">
        <f t="shared" ref="BE163:BE178" si="24">IF(N163="základní",J163,0)</f>
        <v>0</v>
      </c>
      <c r="BF163" s="262">
        <f t="shared" ref="BF163:BF178" si="25">IF(N163="snížená",J163,0)</f>
        <v>0</v>
      </c>
      <c r="BG163" s="262">
        <f t="shared" ref="BG163:BG178" si="26">IF(N163="zákl. přenesená",J163,0)</f>
        <v>0</v>
      </c>
      <c r="BH163" s="262">
        <f t="shared" ref="BH163:BH178" si="27">IF(N163="sníž. přenesená",J163,0)</f>
        <v>0</v>
      </c>
      <c r="BI163" s="262">
        <f t="shared" ref="BI163:BI178" si="28">IF(N163="nulová",J163,0)</f>
        <v>0</v>
      </c>
      <c r="BJ163" s="167" t="s">
        <v>219</v>
      </c>
      <c r="BK163" s="262">
        <f t="shared" ref="BK163:BK178" si="29">ROUND(I163*H163,2)</f>
        <v>0</v>
      </c>
      <c r="BL163" s="167" t="s">
        <v>127</v>
      </c>
      <c r="BM163" s="261" t="s">
        <v>1958</v>
      </c>
    </row>
    <row r="164" spans="2:65" s="173" customFormat="1" ht="21.75" customHeight="1" x14ac:dyDescent="0.25">
      <c r="B164" s="247"/>
      <c r="C164" s="248" t="s">
        <v>107</v>
      </c>
      <c r="D164" s="248" t="s">
        <v>1876</v>
      </c>
      <c r="E164" s="249" t="s">
        <v>1959</v>
      </c>
      <c r="F164" s="250" t="s">
        <v>1960</v>
      </c>
      <c r="G164" s="251" t="s">
        <v>333</v>
      </c>
      <c r="H164" s="252">
        <v>385</v>
      </c>
      <c r="I164" s="253"/>
      <c r="J164" s="254">
        <f t="shared" si="20"/>
        <v>0</v>
      </c>
      <c r="K164" s="255"/>
      <c r="L164" s="256"/>
      <c r="M164" s="257" t="s">
        <v>4</v>
      </c>
      <c r="N164" s="258" t="s">
        <v>1821</v>
      </c>
      <c r="P164" s="259">
        <f t="shared" si="21"/>
        <v>0</v>
      </c>
      <c r="Q164" s="259">
        <v>1.6000000000000001E-4</v>
      </c>
      <c r="R164" s="259">
        <f t="shared" si="22"/>
        <v>6.1600000000000002E-2</v>
      </c>
      <c r="S164" s="259">
        <v>0</v>
      </c>
      <c r="T164" s="260">
        <f t="shared" si="23"/>
        <v>0</v>
      </c>
      <c r="AR164" s="261" t="s">
        <v>1009</v>
      </c>
      <c r="AT164" s="261" t="s">
        <v>1876</v>
      </c>
      <c r="AU164" s="261" t="s">
        <v>227</v>
      </c>
      <c r="AY164" s="167" t="s">
        <v>1873</v>
      </c>
      <c r="BE164" s="262">
        <f t="shared" si="24"/>
        <v>0</v>
      </c>
      <c r="BF164" s="262">
        <f t="shared" si="25"/>
        <v>0</v>
      </c>
      <c r="BG164" s="262">
        <f t="shared" si="26"/>
        <v>0</v>
      </c>
      <c r="BH164" s="262">
        <f t="shared" si="27"/>
        <v>0</v>
      </c>
      <c r="BI164" s="262">
        <f t="shared" si="28"/>
        <v>0</v>
      </c>
      <c r="BJ164" s="167" t="s">
        <v>219</v>
      </c>
      <c r="BK164" s="262">
        <f t="shared" si="29"/>
        <v>0</v>
      </c>
      <c r="BL164" s="167" t="s">
        <v>127</v>
      </c>
      <c r="BM164" s="261" t="s">
        <v>1961</v>
      </c>
    </row>
    <row r="165" spans="2:65" s="173" customFormat="1" ht="24.2" customHeight="1" x14ac:dyDescent="0.25">
      <c r="B165" s="247"/>
      <c r="C165" s="263" t="s">
        <v>311</v>
      </c>
      <c r="D165" s="263" t="s">
        <v>1881</v>
      </c>
      <c r="E165" s="264" t="s">
        <v>1962</v>
      </c>
      <c r="F165" s="265" t="s">
        <v>1963</v>
      </c>
      <c r="G165" s="266" t="s">
        <v>333</v>
      </c>
      <c r="H165" s="267">
        <v>30</v>
      </c>
      <c r="I165" s="268"/>
      <c r="J165" s="269">
        <f t="shared" si="20"/>
        <v>0</v>
      </c>
      <c r="K165" s="270"/>
      <c r="L165" s="174"/>
      <c r="M165" s="271" t="s">
        <v>4</v>
      </c>
      <c r="N165" s="272" t="s">
        <v>1821</v>
      </c>
      <c r="P165" s="259">
        <f t="shared" si="21"/>
        <v>0</v>
      </c>
      <c r="Q165" s="259">
        <v>0</v>
      </c>
      <c r="R165" s="259">
        <f t="shared" si="22"/>
        <v>0</v>
      </c>
      <c r="S165" s="259">
        <v>0</v>
      </c>
      <c r="T165" s="260">
        <f t="shared" si="23"/>
        <v>0</v>
      </c>
      <c r="AR165" s="261" t="s">
        <v>95</v>
      </c>
      <c r="AT165" s="261" t="s">
        <v>1881</v>
      </c>
      <c r="AU165" s="261" t="s">
        <v>227</v>
      </c>
      <c r="AY165" s="167" t="s">
        <v>1873</v>
      </c>
      <c r="BE165" s="262">
        <f t="shared" si="24"/>
        <v>0</v>
      </c>
      <c r="BF165" s="262">
        <f t="shared" si="25"/>
        <v>0</v>
      </c>
      <c r="BG165" s="262">
        <f t="shared" si="26"/>
        <v>0</v>
      </c>
      <c r="BH165" s="262">
        <f t="shared" si="27"/>
        <v>0</v>
      </c>
      <c r="BI165" s="262">
        <f t="shared" si="28"/>
        <v>0</v>
      </c>
      <c r="BJ165" s="167" t="s">
        <v>219</v>
      </c>
      <c r="BK165" s="262">
        <f t="shared" si="29"/>
        <v>0</v>
      </c>
      <c r="BL165" s="167" t="s">
        <v>95</v>
      </c>
      <c r="BM165" s="261" t="s">
        <v>1964</v>
      </c>
    </row>
    <row r="166" spans="2:65" s="173" customFormat="1" ht="24.2" customHeight="1" x14ac:dyDescent="0.25">
      <c r="B166" s="247"/>
      <c r="C166" s="248" t="s">
        <v>316</v>
      </c>
      <c r="D166" s="248" t="s">
        <v>1876</v>
      </c>
      <c r="E166" s="249" t="s">
        <v>1965</v>
      </c>
      <c r="F166" s="250" t="s">
        <v>1966</v>
      </c>
      <c r="G166" s="251" t="s">
        <v>1876</v>
      </c>
      <c r="H166" s="252">
        <v>30</v>
      </c>
      <c r="I166" s="253"/>
      <c r="J166" s="254">
        <f t="shared" si="20"/>
        <v>0</v>
      </c>
      <c r="K166" s="255"/>
      <c r="L166" s="256"/>
      <c r="M166" s="257" t="s">
        <v>4</v>
      </c>
      <c r="N166" s="258" t="s">
        <v>1821</v>
      </c>
      <c r="P166" s="259">
        <f t="shared" si="21"/>
        <v>0</v>
      </c>
      <c r="Q166" s="259">
        <v>0</v>
      </c>
      <c r="R166" s="259">
        <f t="shared" si="22"/>
        <v>0</v>
      </c>
      <c r="S166" s="259">
        <v>0</v>
      </c>
      <c r="T166" s="260">
        <f t="shared" si="23"/>
        <v>0</v>
      </c>
      <c r="AR166" s="261" t="s">
        <v>321</v>
      </c>
      <c r="AT166" s="261" t="s">
        <v>1876</v>
      </c>
      <c r="AU166" s="261" t="s">
        <v>227</v>
      </c>
      <c r="AY166" s="167" t="s">
        <v>1873</v>
      </c>
      <c r="BE166" s="262">
        <f t="shared" si="24"/>
        <v>0</v>
      </c>
      <c r="BF166" s="262">
        <f t="shared" si="25"/>
        <v>0</v>
      </c>
      <c r="BG166" s="262">
        <f t="shared" si="26"/>
        <v>0</v>
      </c>
      <c r="BH166" s="262">
        <f t="shared" si="27"/>
        <v>0</v>
      </c>
      <c r="BI166" s="262">
        <f t="shared" si="28"/>
        <v>0</v>
      </c>
      <c r="BJ166" s="167" t="s">
        <v>219</v>
      </c>
      <c r="BK166" s="262">
        <f t="shared" si="29"/>
        <v>0</v>
      </c>
      <c r="BL166" s="167" t="s">
        <v>95</v>
      </c>
      <c r="BM166" s="261" t="s">
        <v>1967</v>
      </c>
    </row>
    <row r="167" spans="2:65" s="173" customFormat="1" ht="24.2" customHeight="1" x14ac:dyDescent="0.25">
      <c r="B167" s="247"/>
      <c r="C167" s="263" t="s">
        <v>109</v>
      </c>
      <c r="D167" s="263" t="s">
        <v>1881</v>
      </c>
      <c r="E167" s="264" t="s">
        <v>1968</v>
      </c>
      <c r="F167" s="265" t="s">
        <v>1969</v>
      </c>
      <c r="G167" s="266" t="s">
        <v>333</v>
      </c>
      <c r="H167" s="267">
        <v>50</v>
      </c>
      <c r="I167" s="268"/>
      <c r="J167" s="269">
        <f t="shared" si="20"/>
        <v>0</v>
      </c>
      <c r="K167" s="270"/>
      <c r="L167" s="174"/>
      <c r="M167" s="271" t="s">
        <v>4</v>
      </c>
      <c r="N167" s="272" t="s">
        <v>1821</v>
      </c>
      <c r="P167" s="259">
        <f t="shared" si="21"/>
        <v>0</v>
      </c>
      <c r="Q167" s="259">
        <v>0</v>
      </c>
      <c r="R167" s="259">
        <f t="shared" si="22"/>
        <v>0</v>
      </c>
      <c r="S167" s="259">
        <v>0</v>
      </c>
      <c r="T167" s="260">
        <f t="shared" si="23"/>
        <v>0</v>
      </c>
      <c r="AR167" s="261" t="s">
        <v>95</v>
      </c>
      <c r="AT167" s="261" t="s">
        <v>1881</v>
      </c>
      <c r="AU167" s="261" t="s">
        <v>227</v>
      </c>
      <c r="AY167" s="167" t="s">
        <v>1873</v>
      </c>
      <c r="BE167" s="262">
        <f t="shared" si="24"/>
        <v>0</v>
      </c>
      <c r="BF167" s="262">
        <f t="shared" si="25"/>
        <v>0</v>
      </c>
      <c r="BG167" s="262">
        <f t="shared" si="26"/>
        <v>0</v>
      </c>
      <c r="BH167" s="262">
        <f t="shared" si="27"/>
        <v>0</v>
      </c>
      <c r="BI167" s="262">
        <f t="shared" si="28"/>
        <v>0</v>
      </c>
      <c r="BJ167" s="167" t="s">
        <v>219</v>
      </c>
      <c r="BK167" s="262">
        <f t="shared" si="29"/>
        <v>0</v>
      </c>
      <c r="BL167" s="167" t="s">
        <v>95</v>
      </c>
      <c r="BM167" s="261" t="s">
        <v>1970</v>
      </c>
    </row>
    <row r="168" spans="2:65" s="173" customFormat="1" ht="16.5" customHeight="1" x14ac:dyDescent="0.25">
      <c r="B168" s="247"/>
      <c r="C168" s="248" t="s">
        <v>321</v>
      </c>
      <c r="D168" s="248" t="s">
        <v>1876</v>
      </c>
      <c r="E168" s="249" t="s">
        <v>1971</v>
      </c>
      <c r="F168" s="250" t="s">
        <v>1972</v>
      </c>
      <c r="G168" s="251" t="s">
        <v>333</v>
      </c>
      <c r="H168" s="252">
        <v>50</v>
      </c>
      <c r="I168" s="253"/>
      <c r="J168" s="254">
        <f t="shared" si="20"/>
        <v>0</v>
      </c>
      <c r="K168" s="255"/>
      <c r="L168" s="256"/>
      <c r="M168" s="257" t="s">
        <v>4</v>
      </c>
      <c r="N168" s="258" t="s">
        <v>1821</v>
      </c>
      <c r="P168" s="259">
        <f t="shared" si="21"/>
        <v>0</v>
      </c>
      <c r="Q168" s="259">
        <v>0</v>
      </c>
      <c r="R168" s="259">
        <f t="shared" si="22"/>
        <v>0</v>
      </c>
      <c r="S168" s="259">
        <v>0</v>
      </c>
      <c r="T168" s="260">
        <f t="shared" si="23"/>
        <v>0</v>
      </c>
      <c r="AR168" s="261" t="s">
        <v>321</v>
      </c>
      <c r="AT168" s="261" t="s">
        <v>1876</v>
      </c>
      <c r="AU168" s="261" t="s">
        <v>227</v>
      </c>
      <c r="AY168" s="167" t="s">
        <v>1873</v>
      </c>
      <c r="BE168" s="262">
        <f t="shared" si="24"/>
        <v>0</v>
      </c>
      <c r="BF168" s="262">
        <f t="shared" si="25"/>
        <v>0</v>
      </c>
      <c r="BG168" s="262">
        <f t="shared" si="26"/>
        <v>0</v>
      </c>
      <c r="BH168" s="262">
        <f t="shared" si="27"/>
        <v>0</v>
      </c>
      <c r="BI168" s="262">
        <f t="shared" si="28"/>
        <v>0</v>
      </c>
      <c r="BJ168" s="167" t="s">
        <v>219</v>
      </c>
      <c r="BK168" s="262">
        <f t="shared" si="29"/>
        <v>0</v>
      </c>
      <c r="BL168" s="167" t="s">
        <v>95</v>
      </c>
      <c r="BM168" s="261" t="s">
        <v>1973</v>
      </c>
    </row>
    <row r="169" spans="2:65" s="173" customFormat="1" ht="24.2" customHeight="1" x14ac:dyDescent="0.25">
      <c r="B169" s="247"/>
      <c r="C169" s="263" t="s">
        <v>324</v>
      </c>
      <c r="D169" s="263" t="s">
        <v>1881</v>
      </c>
      <c r="E169" s="264" t="s">
        <v>1974</v>
      </c>
      <c r="F169" s="265" t="s">
        <v>1975</v>
      </c>
      <c r="G169" s="266" t="s">
        <v>329</v>
      </c>
      <c r="H169" s="267">
        <v>88</v>
      </c>
      <c r="I169" s="268"/>
      <c r="J169" s="269">
        <f t="shared" si="20"/>
        <v>0</v>
      </c>
      <c r="K169" s="270"/>
      <c r="L169" s="174"/>
      <c r="M169" s="271" t="s">
        <v>4</v>
      </c>
      <c r="N169" s="272" t="s">
        <v>1821</v>
      </c>
      <c r="P169" s="259">
        <f t="shared" si="21"/>
        <v>0</v>
      </c>
      <c r="Q169" s="259">
        <v>0</v>
      </c>
      <c r="R169" s="259">
        <f t="shared" si="22"/>
        <v>0</v>
      </c>
      <c r="S169" s="259">
        <v>0</v>
      </c>
      <c r="T169" s="260">
        <f t="shared" si="23"/>
        <v>0</v>
      </c>
      <c r="AR169" s="261" t="s">
        <v>95</v>
      </c>
      <c r="AT169" s="261" t="s">
        <v>1881</v>
      </c>
      <c r="AU169" s="261" t="s">
        <v>227</v>
      </c>
      <c r="AY169" s="167" t="s">
        <v>1873</v>
      </c>
      <c r="BE169" s="262">
        <f t="shared" si="24"/>
        <v>0</v>
      </c>
      <c r="BF169" s="262">
        <f t="shared" si="25"/>
        <v>0</v>
      </c>
      <c r="BG169" s="262">
        <f t="shared" si="26"/>
        <v>0</v>
      </c>
      <c r="BH169" s="262">
        <f t="shared" si="27"/>
        <v>0</v>
      </c>
      <c r="BI169" s="262">
        <f t="shared" si="28"/>
        <v>0</v>
      </c>
      <c r="BJ169" s="167" t="s">
        <v>219</v>
      </c>
      <c r="BK169" s="262">
        <f t="shared" si="29"/>
        <v>0</v>
      </c>
      <c r="BL169" s="167" t="s">
        <v>95</v>
      </c>
      <c r="BM169" s="261" t="s">
        <v>1976</v>
      </c>
    </row>
    <row r="170" spans="2:65" s="173" customFormat="1" ht="16.5" customHeight="1" x14ac:dyDescent="0.25">
      <c r="B170" s="247"/>
      <c r="C170" s="248" t="s">
        <v>111</v>
      </c>
      <c r="D170" s="248" t="s">
        <v>1876</v>
      </c>
      <c r="E170" s="249" t="s">
        <v>1977</v>
      </c>
      <c r="F170" s="250" t="s">
        <v>1978</v>
      </c>
      <c r="G170" s="251" t="s">
        <v>1901</v>
      </c>
      <c r="H170" s="252">
        <v>88</v>
      </c>
      <c r="I170" s="253"/>
      <c r="J170" s="254">
        <f t="shared" si="20"/>
        <v>0</v>
      </c>
      <c r="K170" s="255"/>
      <c r="L170" s="256"/>
      <c r="M170" s="257" t="s">
        <v>4</v>
      </c>
      <c r="N170" s="258" t="s">
        <v>1821</v>
      </c>
      <c r="P170" s="259">
        <f t="shared" si="21"/>
        <v>0</v>
      </c>
      <c r="Q170" s="259">
        <v>0</v>
      </c>
      <c r="R170" s="259">
        <f t="shared" si="22"/>
        <v>0</v>
      </c>
      <c r="S170" s="259">
        <v>0</v>
      </c>
      <c r="T170" s="260">
        <f t="shared" si="23"/>
        <v>0</v>
      </c>
      <c r="AR170" s="261" t="s">
        <v>321</v>
      </c>
      <c r="AT170" s="261" t="s">
        <v>1876</v>
      </c>
      <c r="AU170" s="261" t="s">
        <v>227</v>
      </c>
      <c r="AY170" s="167" t="s">
        <v>1873</v>
      </c>
      <c r="BE170" s="262">
        <f t="shared" si="24"/>
        <v>0</v>
      </c>
      <c r="BF170" s="262">
        <f t="shared" si="25"/>
        <v>0</v>
      </c>
      <c r="BG170" s="262">
        <f t="shared" si="26"/>
        <v>0</v>
      </c>
      <c r="BH170" s="262">
        <f t="shared" si="27"/>
        <v>0</v>
      </c>
      <c r="BI170" s="262">
        <f t="shared" si="28"/>
        <v>0</v>
      </c>
      <c r="BJ170" s="167" t="s">
        <v>219</v>
      </c>
      <c r="BK170" s="262">
        <f t="shared" si="29"/>
        <v>0</v>
      </c>
      <c r="BL170" s="167" t="s">
        <v>95</v>
      </c>
      <c r="BM170" s="261" t="s">
        <v>1979</v>
      </c>
    </row>
    <row r="171" spans="2:65" s="173" customFormat="1" ht="24.2" customHeight="1" x14ac:dyDescent="0.25">
      <c r="B171" s="247"/>
      <c r="C171" s="263" t="s">
        <v>330</v>
      </c>
      <c r="D171" s="263" t="s">
        <v>1881</v>
      </c>
      <c r="E171" s="264" t="s">
        <v>1980</v>
      </c>
      <c r="F171" s="265" t="s">
        <v>1975</v>
      </c>
      <c r="G171" s="266" t="s">
        <v>329</v>
      </c>
      <c r="H171" s="267">
        <v>36</v>
      </c>
      <c r="I171" s="268"/>
      <c r="J171" s="269">
        <f t="shared" si="20"/>
        <v>0</v>
      </c>
      <c r="K171" s="270"/>
      <c r="L171" s="174"/>
      <c r="M171" s="271" t="s">
        <v>4</v>
      </c>
      <c r="N171" s="272" t="s">
        <v>1821</v>
      </c>
      <c r="P171" s="259">
        <f t="shared" si="21"/>
        <v>0</v>
      </c>
      <c r="Q171" s="259">
        <v>0</v>
      </c>
      <c r="R171" s="259">
        <f t="shared" si="22"/>
        <v>0</v>
      </c>
      <c r="S171" s="259">
        <v>0</v>
      </c>
      <c r="T171" s="260">
        <f t="shared" si="23"/>
        <v>0</v>
      </c>
      <c r="AR171" s="261" t="s">
        <v>95</v>
      </c>
      <c r="AT171" s="261" t="s">
        <v>1881</v>
      </c>
      <c r="AU171" s="261" t="s">
        <v>227</v>
      </c>
      <c r="AY171" s="167" t="s">
        <v>1873</v>
      </c>
      <c r="BE171" s="262">
        <f t="shared" si="24"/>
        <v>0</v>
      </c>
      <c r="BF171" s="262">
        <f t="shared" si="25"/>
        <v>0</v>
      </c>
      <c r="BG171" s="262">
        <f t="shared" si="26"/>
        <v>0</v>
      </c>
      <c r="BH171" s="262">
        <f t="shared" si="27"/>
        <v>0</v>
      </c>
      <c r="BI171" s="262">
        <f t="shared" si="28"/>
        <v>0</v>
      </c>
      <c r="BJ171" s="167" t="s">
        <v>219</v>
      </c>
      <c r="BK171" s="262">
        <f t="shared" si="29"/>
        <v>0</v>
      </c>
      <c r="BL171" s="167" t="s">
        <v>95</v>
      </c>
      <c r="BM171" s="261" t="s">
        <v>1981</v>
      </c>
    </row>
    <row r="172" spans="2:65" s="173" customFormat="1" ht="21.75" customHeight="1" x14ac:dyDescent="0.25">
      <c r="B172" s="247"/>
      <c r="C172" s="248" t="s">
        <v>335</v>
      </c>
      <c r="D172" s="248" t="s">
        <v>1876</v>
      </c>
      <c r="E172" s="249" t="s">
        <v>1982</v>
      </c>
      <c r="F172" s="250" t="s">
        <v>1983</v>
      </c>
      <c r="G172" s="251" t="s">
        <v>1901</v>
      </c>
      <c r="H172" s="252">
        <v>36</v>
      </c>
      <c r="I172" s="253"/>
      <c r="J172" s="254">
        <f t="shared" si="20"/>
        <v>0</v>
      </c>
      <c r="K172" s="255"/>
      <c r="L172" s="256"/>
      <c r="M172" s="257" t="s">
        <v>4</v>
      </c>
      <c r="N172" s="258" t="s">
        <v>1821</v>
      </c>
      <c r="P172" s="259">
        <f t="shared" si="21"/>
        <v>0</v>
      </c>
      <c r="Q172" s="259">
        <v>0</v>
      </c>
      <c r="R172" s="259">
        <f t="shared" si="22"/>
        <v>0</v>
      </c>
      <c r="S172" s="259">
        <v>0</v>
      </c>
      <c r="T172" s="260">
        <f t="shared" si="23"/>
        <v>0</v>
      </c>
      <c r="AR172" s="261" t="s">
        <v>321</v>
      </c>
      <c r="AT172" s="261" t="s">
        <v>1876</v>
      </c>
      <c r="AU172" s="261" t="s">
        <v>227</v>
      </c>
      <c r="AY172" s="167" t="s">
        <v>1873</v>
      </c>
      <c r="BE172" s="262">
        <f t="shared" si="24"/>
        <v>0</v>
      </c>
      <c r="BF172" s="262">
        <f t="shared" si="25"/>
        <v>0</v>
      </c>
      <c r="BG172" s="262">
        <f t="shared" si="26"/>
        <v>0</v>
      </c>
      <c r="BH172" s="262">
        <f t="shared" si="27"/>
        <v>0</v>
      </c>
      <c r="BI172" s="262">
        <f t="shared" si="28"/>
        <v>0</v>
      </c>
      <c r="BJ172" s="167" t="s">
        <v>219</v>
      </c>
      <c r="BK172" s="262">
        <f t="shared" si="29"/>
        <v>0</v>
      </c>
      <c r="BL172" s="167" t="s">
        <v>95</v>
      </c>
      <c r="BM172" s="261" t="s">
        <v>1984</v>
      </c>
    </row>
    <row r="173" spans="2:65" s="173" customFormat="1" ht="24.2" customHeight="1" x14ac:dyDescent="0.25">
      <c r="B173" s="247"/>
      <c r="C173" s="263" t="s">
        <v>338</v>
      </c>
      <c r="D173" s="263" t="s">
        <v>1881</v>
      </c>
      <c r="E173" s="264" t="s">
        <v>1985</v>
      </c>
      <c r="F173" s="265" t="s">
        <v>1986</v>
      </c>
      <c r="G173" s="266" t="s">
        <v>329</v>
      </c>
      <c r="H173" s="267">
        <v>1</v>
      </c>
      <c r="I173" s="268"/>
      <c r="J173" s="269">
        <f t="shared" si="20"/>
        <v>0</v>
      </c>
      <c r="K173" s="270"/>
      <c r="L173" s="174"/>
      <c r="M173" s="271" t="s">
        <v>4</v>
      </c>
      <c r="N173" s="272" t="s">
        <v>1821</v>
      </c>
      <c r="P173" s="259">
        <f t="shared" si="21"/>
        <v>0</v>
      </c>
      <c r="Q173" s="259">
        <v>0</v>
      </c>
      <c r="R173" s="259">
        <f t="shared" si="22"/>
        <v>0</v>
      </c>
      <c r="S173" s="259">
        <v>0</v>
      </c>
      <c r="T173" s="260">
        <f t="shared" si="23"/>
        <v>0</v>
      </c>
      <c r="AR173" s="261" t="s">
        <v>95</v>
      </c>
      <c r="AT173" s="261" t="s">
        <v>1881</v>
      </c>
      <c r="AU173" s="261" t="s">
        <v>227</v>
      </c>
      <c r="AY173" s="167" t="s">
        <v>1873</v>
      </c>
      <c r="BE173" s="262">
        <f t="shared" si="24"/>
        <v>0</v>
      </c>
      <c r="BF173" s="262">
        <f t="shared" si="25"/>
        <v>0</v>
      </c>
      <c r="BG173" s="262">
        <f t="shared" si="26"/>
        <v>0</v>
      </c>
      <c r="BH173" s="262">
        <f t="shared" si="27"/>
        <v>0</v>
      </c>
      <c r="BI173" s="262">
        <f t="shared" si="28"/>
        <v>0</v>
      </c>
      <c r="BJ173" s="167" t="s">
        <v>219</v>
      </c>
      <c r="BK173" s="262">
        <f t="shared" si="29"/>
        <v>0</v>
      </c>
      <c r="BL173" s="167" t="s">
        <v>95</v>
      </c>
      <c r="BM173" s="261" t="s">
        <v>1987</v>
      </c>
    </row>
    <row r="174" spans="2:65" s="173" customFormat="1" ht="16.5" customHeight="1" x14ac:dyDescent="0.25">
      <c r="B174" s="247"/>
      <c r="C174" s="248" t="s">
        <v>341</v>
      </c>
      <c r="D174" s="248" t="s">
        <v>1876</v>
      </c>
      <c r="E174" s="249" t="s">
        <v>1988</v>
      </c>
      <c r="F174" s="250" t="s">
        <v>1989</v>
      </c>
      <c r="G174" s="251" t="s">
        <v>1901</v>
      </c>
      <c r="H174" s="252">
        <v>1</v>
      </c>
      <c r="I174" s="253"/>
      <c r="J174" s="254">
        <f t="shared" si="20"/>
        <v>0</v>
      </c>
      <c r="K174" s="255"/>
      <c r="L174" s="256"/>
      <c r="M174" s="257" t="s">
        <v>4</v>
      </c>
      <c r="N174" s="258" t="s">
        <v>1821</v>
      </c>
      <c r="P174" s="259">
        <f t="shared" si="21"/>
        <v>0</v>
      </c>
      <c r="Q174" s="259">
        <v>0</v>
      </c>
      <c r="R174" s="259">
        <f t="shared" si="22"/>
        <v>0</v>
      </c>
      <c r="S174" s="259">
        <v>0</v>
      </c>
      <c r="T174" s="260">
        <f t="shared" si="23"/>
        <v>0</v>
      </c>
      <c r="AR174" s="261" t="s">
        <v>321</v>
      </c>
      <c r="AT174" s="261" t="s">
        <v>1876</v>
      </c>
      <c r="AU174" s="261" t="s">
        <v>227</v>
      </c>
      <c r="AY174" s="167" t="s">
        <v>1873</v>
      </c>
      <c r="BE174" s="262">
        <f t="shared" si="24"/>
        <v>0</v>
      </c>
      <c r="BF174" s="262">
        <f t="shared" si="25"/>
        <v>0</v>
      </c>
      <c r="BG174" s="262">
        <f t="shared" si="26"/>
        <v>0</v>
      </c>
      <c r="BH174" s="262">
        <f t="shared" si="27"/>
        <v>0</v>
      </c>
      <c r="BI174" s="262">
        <f t="shared" si="28"/>
        <v>0</v>
      </c>
      <c r="BJ174" s="167" t="s">
        <v>219</v>
      </c>
      <c r="BK174" s="262">
        <f t="shared" si="29"/>
        <v>0</v>
      </c>
      <c r="BL174" s="167" t="s">
        <v>95</v>
      </c>
      <c r="BM174" s="261" t="s">
        <v>1990</v>
      </c>
    </row>
    <row r="175" spans="2:65" s="173" customFormat="1" ht="24.2" customHeight="1" x14ac:dyDescent="0.25">
      <c r="B175" s="247"/>
      <c r="C175" s="263" t="s">
        <v>344</v>
      </c>
      <c r="D175" s="263" t="s">
        <v>1881</v>
      </c>
      <c r="E175" s="264" t="s">
        <v>1991</v>
      </c>
      <c r="F175" s="265" t="s">
        <v>1992</v>
      </c>
      <c r="G175" s="266" t="s">
        <v>329</v>
      </c>
      <c r="H175" s="267">
        <v>15</v>
      </c>
      <c r="I175" s="268"/>
      <c r="J175" s="269">
        <f t="shared" si="20"/>
        <v>0</v>
      </c>
      <c r="K175" s="270"/>
      <c r="L175" s="174"/>
      <c r="M175" s="271" t="s">
        <v>4</v>
      </c>
      <c r="N175" s="272" t="s">
        <v>1821</v>
      </c>
      <c r="P175" s="259">
        <f t="shared" si="21"/>
        <v>0</v>
      </c>
      <c r="Q175" s="259">
        <v>0</v>
      </c>
      <c r="R175" s="259">
        <f t="shared" si="22"/>
        <v>0</v>
      </c>
      <c r="S175" s="259">
        <v>0</v>
      </c>
      <c r="T175" s="260">
        <f t="shared" si="23"/>
        <v>0</v>
      </c>
      <c r="AR175" s="261" t="s">
        <v>95</v>
      </c>
      <c r="AT175" s="261" t="s">
        <v>1881</v>
      </c>
      <c r="AU175" s="261" t="s">
        <v>227</v>
      </c>
      <c r="AY175" s="167" t="s">
        <v>1873</v>
      </c>
      <c r="BE175" s="262">
        <f t="shared" si="24"/>
        <v>0</v>
      </c>
      <c r="BF175" s="262">
        <f t="shared" si="25"/>
        <v>0</v>
      </c>
      <c r="BG175" s="262">
        <f t="shared" si="26"/>
        <v>0</v>
      </c>
      <c r="BH175" s="262">
        <f t="shared" si="27"/>
        <v>0</v>
      </c>
      <c r="BI175" s="262">
        <f t="shared" si="28"/>
        <v>0</v>
      </c>
      <c r="BJ175" s="167" t="s">
        <v>219</v>
      </c>
      <c r="BK175" s="262">
        <f t="shared" si="29"/>
        <v>0</v>
      </c>
      <c r="BL175" s="167" t="s">
        <v>95</v>
      </c>
      <c r="BM175" s="261" t="s">
        <v>1993</v>
      </c>
    </row>
    <row r="176" spans="2:65" s="173" customFormat="1" ht="16.5" customHeight="1" x14ac:dyDescent="0.25">
      <c r="B176" s="247"/>
      <c r="C176" s="248" t="s">
        <v>347</v>
      </c>
      <c r="D176" s="248" t="s">
        <v>1876</v>
      </c>
      <c r="E176" s="249" t="s">
        <v>1994</v>
      </c>
      <c r="F176" s="250" t="s">
        <v>1995</v>
      </c>
      <c r="G176" s="251" t="s">
        <v>1901</v>
      </c>
      <c r="H176" s="252">
        <v>15</v>
      </c>
      <c r="I176" s="253"/>
      <c r="J176" s="254">
        <f t="shared" si="20"/>
        <v>0</v>
      </c>
      <c r="K176" s="255"/>
      <c r="L176" s="256"/>
      <c r="M176" s="257" t="s">
        <v>4</v>
      </c>
      <c r="N176" s="258" t="s">
        <v>1821</v>
      </c>
      <c r="P176" s="259">
        <f t="shared" si="21"/>
        <v>0</v>
      </c>
      <c r="Q176" s="259">
        <v>0</v>
      </c>
      <c r="R176" s="259">
        <f t="shared" si="22"/>
        <v>0</v>
      </c>
      <c r="S176" s="259">
        <v>0</v>
      </c>
      <c r="T176" s="260">
        <f t="shared" si="23"/>
        <v>0</v>
      </c>
      <c r="AR176" s="261" t="s">
        <v>321</v>
      </c>
      <c r="AT176" s="261" t="s">
        <v>1876</v>
      </c>
      <c r="AU176" s="261" t="s">
        <v>227</v>
      </c>
      <c r="AY176" s="167" t="s">
        <v>1873</v>
      </c>
      <c r="BE176" s="262">
        <f t="shared" si="24"/>
        <v>0</v>
      </c>
      <c r="BF176" s="262">
        <f t="shared" si="25"/>
        <v>0</v>
      </c>
      <c r="BG176" s="262">
        <f t="shared" si="26"/>
        <v>0</v>
      </c>
      <c r="BH176" s="262">
        <f t="shared" si="27"/>
        <v>0</v>
      </c>
      <c r="BI176" s="262">
        <f t="shared" si="28"/>
        <v>0</v>
      </c>
      <c r="BJ176" s="167" t="s">
        <v>219</v>
      </c>
      <c r="BK176" s="262">
        <f t="shared" si="29"/>
        <v>0</v>
      </c>
      <c r="BL176" s="167" t="s">
        <v>95</v>
      </c>
      <c r="BM176" s="261" t="s">
        <v>1996</v>
      </c>
    </row>
    <row r="177" spans="2:65" s="173" customFormat="1" ht="21.75" customHeight="1" x14ac:dyDescent="0.25">
      <c r="B177" s="247"/>
      <c r="C177" s="263" t="s">
        <v>113</v>
      </c>
      <c r="D177" s="263" t="s">
        <v>1881</v>
      </c>
      <c r="E177" s="264" t="s">
        <v>1997</v>
      </c>
      <c r="F177" s="265" t="s">
        <v>1998</v>
      </c>
      <c r="G177" s="266" t="s">
        <v>329</v>
      </c>
      <c r="H177" s="267">
        <v>16</v>
      </c>
      <c r="I177" s="268"/>
      <c r="J177" s="269">
        <f t="shared" si="20"/>
        <v>0</v>
      </c>
      <c r="K177" s="270"/>
      <c r="L177" s="174"/>
      <c r="M177" s="271" t="s">
        <v>4</v>
      </c>
      <c r="N177" s="272" t="s">
        <v>1821</v>
      </c>
      <c r="P177" s="259">
        <f t="shared" si="21"/>
        <v>0</v>
      </c>
      <c r="Q177" s="259">
        <v>0</v>
      </c>
      <c r="R177" s="259">
        <f t="shared" si="22"/>
        <v>0</v>
      </c>
      <c r="S177" s="259">
        <v>0</v>
      </c>
      <c r="T177" s="260">
        <f t="shared" si="23"/>
        <v>0</v>
      </c>
      <c r="AR177" s="261" t="s">
        <v>95</v>
      </c>
      <c r="AT177" s="261" t="s">
        <v>1881</v>
      </c>
      <c r="AU177" s="261" t="s">
        <v>227</v>
      </c>
      <c r="AY177" s="167" t="s">
        <v>1873</v>
      </c>
      <c r="BE177" s="262">
        <f t="shared" si="24"/>
        <v>0</v>
      </c>
      <c r="BF177" s="262">
        <f t="shared" si="25"/>
        <v>0</v>
      </c>
      <c r="BG177" s="262">
        <f t="shared" si="26"/>
        <v>0</v>
      </c>
      <c r="BH177" s="262">
        <f t="shared" si="27"/>
        <v>0</v>
      </c>
      <c r="BI177" s="262">
        <f t="shared" si="28"/>
        <v>0</v>
      </c>
      <c r="BJ177" s="167" t="s">
        <v>219</v>
      </c>
      <c r="BK177" s="262">
        <f t="shared" si="29"/>
        <v>0</v>
      </c>
      <c r="BL177" s="167" t="s">
        <v>95</v>
      </c>
      <c r="BM177" s="261" t="s">
        <v>1999</v>
      </c>
    </row>
    <row r="178" spans="2:65" s="173" customFormat="1" ht="16.5" customHeight="1" x14ac:dyDescent="0.25">
      <c r="B178" s="247"/>
      <c r="C178" s="263" t="s">
        <v>353</v>
      </c>
      <c r="D178" s="263" t="s">
        <v>1881</v>
      </c>
      <c r="E178" s="264" t="s">
        <v>2000</v>
      </c>
      <c r="F178" s="265" t="s">
        <v>2001</v>
      </c>
      <c r="G178" s="266" t="s">
        <v>329</v>
      </c>
      <c r="H178" s="267">
        <v>1</v>
      </c>
      <c r="I178" s="268"/>
      <c r="J178" s="269">
        <f t="shared" si="20"/>
        <v>0</v>
      </c>
      <c r="K178" s="270"/>
      <c r="L178" s="174"/>
      <c r="M178" s="271" t="s">
        <v>4</v>
      </c>
      <c r="N178" s="272" t="s">
        <v>1821</v>
      </c>
      <c r="P178" s="259">
        <f t="shared" si="21"/>
        <v>0</v>
      </c>
      <c r="Q178" s="259">
        <v>0</v>
      </c>
      <c r="R178" s="259">
        <f t="shared" si="22"/>
        <v>0</v>
      </c>
      <c r="S178" s="259">
        <v>0</v>
      </c>
      <c r="T178" s="260">
        <f t="shared" si="23"/>
        <v>0</v>
      </c>
      <c r="AR178" s="261" t="s">
        <v>95</v>
      </c>
      <c r="AT178" s="261" t="s">
        <v>1881</v>
      </c>
      <c r="AU178" s="261" t="s">
        <v>227</v>
      </c>
      <c r="AY178" s="167" t="s">
        <v>1873</v>
      </c>
      <c r="BE178" s="262">
        <f t="shared" si="24"/>
        <v>0</v>
      </c>
      <c r="BF178" s="262">
        <f t="shared" si="25"/>
        <v>0</v>
      </c>
      <c r="BG178" s="262">
        <f t="shared" si="26"/>
        <v>0</v>
      </c>
      <c r="BH178" s="262">
        <f t="shared" si="27"/>
        <v>0</v>
      </c>
      <c r="BI178" s="262">
        <f t="shared" si="28"/>
        <v>0</v>
      </c>
      <c r="BJ178" s="167" t="s">
        <v>219</v>
      </c>
      <c r="BK178" s="262">
        <f t="shared" si="29"/>
        <v>0</v>
      </c>
      <c r="BL178" s="167" t="s">
        <v>95</v>
      </c>
      <c r="BM178" s="261" t="s">
        <v>2002</v>
      </c>
    </row>
    <row r="179" spans="2:65" s="234" customFormat="1" ht="22.9" customHeight="1" x14ac:dyDescent="0.2">
      <c r="B179" s="235"/>
      <c r="D179" s="236" t="s">
        <v>1870</v>
      </c>
      <c r="E179" s="245" t="s">
        <v>2003</v>
      </c>
      <c r="F179" s="245" t="s">
        <v>2004</v>
      </c>
      <c r="I179" s="238"/>
      <c r="J179" s="246">
        <f>BK179</f>
        <v>0</v>
      </c>
      <c r="L179" s="235"/>
      <c r="M179" s="240"/>
      <c r="P179" s="241">
        <f>SUM(P180:P183)</f>
        <v>0</v>
      </c>
      <c r="R179" s="241">
        <f>SUM(R180:R183)</f>
        <v>1.6149999999999998E-2</v>
      </c>
      <c r="T179" s="242">
        <f>SUM(T180:T183)</f>
        <v>0</v>
      </c>
      <c r="AR179" s="236" t="s">
        <v>227</v>
      </c>
      <c r="AT179" s="243" t="s">
        <v>1870</v>
      </c>
      <c r="AU179" s="243" t="s">
        <v>219</v>
      </c>
      <c r="AY179" s="236" t="s">
        <v>1873</v>
      </c>
      <c r="BK179" s="244">
        <f>SUM(BK180:BK183)</f>
        <v>0</v>
      </c>
    </row>
    <row r="180" spans="2:65" s="173" customFormat="1" ht="21.75" customHeight="1" x14ac:dyDescent="0.25">
      <c r="B180" s="247"/>
      <c r="C180" s="263" t="s">
        <v>115</v>
      </c>
      <c r="D180" s="263" t="s">
        <v>1881</v>
      </c>
      <c r="E180" s="264" t="s">
        <v>2005</v>
      </c>
      <c r="F180" s="265" t="s">
        <v>2006</v>
      </c>
      <c r="G180" s="266" t="s">
        <v>333</v>
      </c>
      <c r="H180" s="267">
        <v>40</v>
      </c>
      <c r="I180" s="268"/>
      <c r="J180" s="269">
        <f>ROUND(I180*H180,2)</f>
        <v>0</v>
      </c>
      <c r="K180" s="270"/>
      <c r="L180" s="174"/>
      <c r="M180" s="271" t="s">
        <v>4</v>
      </c>
      <c r="N180" s="272" t="s">
        <v>1821</v>
      </c>
      <c r="P180" s="259">
        <f>O180*H180</f>
        <v>0</v>
      </c>
      <c r="Q180" s="259">
        <v>0</v>
      </c>
      <c r="R180" s="259">
        <f>Q180*H180</f>
        <v>0</v>
      </c>
      <c r="S180" s="259">
        <v>0</v>
      </c>
      <c r="T180" s="260">
        <f>S180*H180</f>
        <v>0</v>
      </c>
      <c r="AR180" s="261" t="s">
        <v>95</v>
      </c>
      <c r="AT180" s="261" t="s">
        <v>1881</v>
      </c>
      <c r="AU180" s="261" t="s">
        <v>227</v>
      </c>
      <c r="AY180" s="167" t="s">
        <v>1873</v>
      </c>
      <c r="BE180" s="262">
        <f>IF(N180="základní",J180,0)</f>
        <v>0</v>
      </c>
      <c r="BF180" s="262">
        <f>IF(N180="snížená",J180,0)</f>
        <v>0</v>
      </c>
      <c r="BG180" s="262">
        <f>IF(N180="zákl. přenesená",J180,0)</f>
        <v>0</v>
      </c>
      <c r="BH180" s="262">
        <f>IF(N180="sníž. přenesená",J180,0)</f>
        <v>0</v>
      </c>
      <c r="BI180" s="262">
        <f>IF(N180="nulová",J180,0)</f>
        <v>0</v>
      </c>
      <c r="BJ180" s="167" t="s">
        <v>219</v>
      </c>
      <c r="BK180" s="262">
        <f>ROUND(I180*H180,2)</f>
        <v>0</v>
      </c>
      <c r="BL180" s="167" t="s">
        <v>95</v>
      </c>
      <c r="BM180" s="261" t="s">
        <v>2007</v>
      </c>
    </row>
    <row r="181" spans="2:65" s="173" customFormat="1" ht="24.95" customHeight="1" x14ac:dyDescent="0.25">
      <c r="B181" s="247"/>
      <c r="C181" s="248" t="s">
        <v>358</v>
      </c>
      <c r="D181" s="248" t="s">
        <v>1876</v>
      </c>
      <c r="E181" s="249" t="s">
        <v>2008</v>
      </c>
      <c r="F181" s="250" t="s">
        <v>2009</v>
      </c>
      <c r="G181" s="251" t="s">
        <v>333</v>
      </c>
      <c r="H181" s="252">
        <v>40</v>
      </c>
      <c r="I181" s="253"/>
      <c r="J181" s="254">
        <f>ROUND(I181*H181,2)</f>
        <v>0</v>
      </c>
      <c r="K181" s="255"/>
      <c r="L181" s="256"/>
      <c r="M181" s="257" t="s">
        <v>4</v>
      </c>
      <c r="N181" s="258" t="s">
        <v>1821</v>
      </c>
      <c r="P181" s="259">
        <f>O181*H181</f>
        <v>0</v>
      </c>
      <c r="Q181" s="259">
        <v>2.0599999999999999E-4</v>
      </c>
      <c r="R181" s="259">
        <f>Q181*H181</f>
        <v>8.2399999999999991E-3</v>
      </c>
      <c r="S181" s="259">
        <v>0</v>
      </c>
      <c r="T181" s="260">
        <f>S181*H181</f>
        <v>0</v>
      </c>
      <c r="AR181" s="261" t="s">
        <v>321</v>
      </c>
      <c r="AT181" s="261" t="s">
        <v>1876</v>
      </c>
      <c r="AU181" s="261" t="s">
        <v>227</v>
      </c>
      <c r="AY181" s="167" t="s">
        <v>1873</v>
      </c>
      <c r="BE181" s="262">
        <f>IF(N181="základní",J181,0)</f>
        <v>0</v>
      </c>
      <c r="BF181" s="262">
        <f>IF(N181="snížená",J181,0)</f>
        <v>0</v>
      </c>
      <c r="BG181" s="262">
        <f>IF(N181="zákl. přenesená",J181,0)</f>
        <v>0</v>
      </c>
      <c r="BH181" s="262">
        <f>IF(N181="sníž. přenesená",J181,0)</f>
        <v>0</v>
      </c>
      <c r="BI181" s="262">
        <f>IF(N181="nulová",J181,0)</f>
        <v>0</v>
      </c>
      <c r="BJ181" s="167" t="s">
        <v>219</v>
      </c>
      <c r="BK181" s="262">
        <f>ROUND(I181*H181,2)</f>
        <v>0</v>
      </c>
      <c r="BL181" s="167" t="s">
        <v>95</v>
      </c>
      <c r="BM181" s="261" t="s">
        <v>2010</v>
      </c>
    </row>
    <row r="182" spans="2:65" s="173" customFormat="1" ht="24.2" customHeight="1" x14ac:dyDescent="0.25">
      <c r="B182" s="247"/>
      <c r="C182" s="263" t="s">
        <v>361</v>
      </c>
      <c r="D182" s="263" t="s">
        <v>1881</v>
      </c>
      <c r="E182" s="264" t="s">
        <v>2011</v>
      </c>
      <c r="F182" s="265" t="s">
        <v>2012</v>
      </c>
      <c r="G182" s="266" t="s">
        <v>333</v>
      </c>
      <c r="H182" s="267">
        <v>70</v>
      </c>
      <c r="I182" s="268"/>
      <c r="J182" s="269">
        <f>ROUND(I182*H182,2)</f>
        <v>0</v>
      </c>
      <c r="K182" s="270"/>
      <c r="L182" s="174"/>
      <c r="M182" s="271" t="s">
        <v>4</v>
      </c>
      <c r="N182" s="272" t="s">
        <v>1821</v>
      </c>
      <c r="P182" s="259">
        <f>O182*H182</f>
        <v>0</v>
      </c>
      <c r="Q182" s="259">
        <v>0</v>
      </c>
      <c r="R182" s="259">
        <f>Q182*H182</f>
        <v>0</v>
      </c>
      <c r="S182" s="259">
        <v>0</v>
      </c>
      <c r="T182" s="260">
        <f>S182*H182</f>
        <v>0</v>
      </c>
      <c r="AR182" s="261" t="s">
        <v>95</v>
      </c>
      <c r="AT182" s="261" t="s">
        <v>1881</v>
      </c>
      <c r="AU182" s="261" t="s">
        <v>227</v>
      </c>
      <c r="AY182" s="167" t="s">
        <v>1873</v>
      </c>
      <c r="BE182" s="262">
        <f>IF(N182="základní",J182,0)</f>
        <v>0</v>
      </c>
      <c r="BF182" s="262">
        <f>IF(N182="snížená",J182,0)</f>
        <v>0</v>
      </c>
      <c r="BG182" s="262">
        <f>IF(N182="zákl. přenesená",J182,0)</f>
        <v>0</v>
      </c>
      <c r="BH182" s="262">
        <f>IF(N182="sníž. přenesená",J182,0)</f>
        <v>0</v>
      </c>
      <c r="BI182" s="262">
        <f>IF(N182="nulová",J182,0)</f>
        <v>0</v>
      </c>
      <c r="BJ182" s="167" t="s">
        <v>219</v>
      </c>
      <c r="BK182" s="262">
        <f>ROUND(I182*H182,2)</f>
        <v>0</v>
      </c>
      <c r="BL182" s="167" t="s">
        <v>95</v>
      </c>
      <c r="BM182" s="261" t="s">
        <v>2013</v>
      </c>
    </row>
    <row r="183" spans="2:65" s="173" customFormat="1" ht="21.75" customHeight="1" x14ac:dyDescent="0.25">
      <c r="B183" s="247"/>
      <c r="C183" s="248" t="s">
        <v>364</v>
      </c>
      <c r="D183" s="248" t="s">
        <v>1876</v>
      </c>
      <c r="E183" s="249" t="s">
        <v>2014</v>
      </c>
      <c r="F183" s="250" t="s">
        <v>2015</v>
      </c>
      <c r="G183" s="251" t="s">
        <v>333</v>
      </c>
      <c r="H183" s="252">
        <v>70</v>
      </c>
      <c r="I183" s="253"/>
      <c r="J183" s="254">
        <f>ROUND(I183*H183,2)</f>
        <v>0</v>
      </c>
      <c r="K183" s="255"/>
      <c r="L183" s="256"/>
      <c r="M183" s="257" t="s">
        <v>4</v>
      </c>
      <c r="N183" s="258" t="s">
        <v>1821</v>
      </c>
      <c r="P183" s="259">
        <f>O183*H183</f>
        <v>0</v>
      </c>
      <c r="Q183" s="259">
        <v>1.13E-4</v>
      </c>
      <c r="R183" s="259">
        <f>Q183*H183</f>
        <v>7.9100000000000004E-3</v>
      </c>
      <c r="S183" s="259">
        <v>0</v>
      </c>
      <c r="T183" s="260">
        <f>S183*H183</f>
        <v>0</v>
      </c>
      <c r="AR183" s="261" t="s">
        <v>321</v>
      </c>
      <c r="AT183" s="261" t="s">
        <v>1876</v>
      </c>
      <c r="AU183" s="261" t="s">
        <v>227</v>
      </c>
      <c r="AY183" s="167" t="s">
        <v>1873</v>
      </c>
      <c r="BE183" s="262">
        <f>IF(N183="základní",J183,0)</f>
        <v>0</v>
      </c>
      <c r="BF183" s="262">
        <f>IF(N183="snížená",J183,0)</f>
        <v>0</v>
      </c>
      <c r="BG183" s="262">
        <f>IF(N183="zákl. přenesená",J183,0)</f>
        <v>0</v>
      </c>
      <c r="BH183" s="262">
        <f>IF(N183="sníž. přenesená",J183,0)</f>
        <v>0</v>
      </c>
      <c r="BI183" s="262">
        <f>IF(N183="nulová",J183,0)</f>
        <v>0</v>
      </c>
      <c r="BJ183" s="167" t="s">
        <v>219</v>
      </c>
      <c r="BK183" s="262">
        <f>ROUND(I183*H183,2)</f>
        <v>0</v>
      </c>
      <c r="BL183" s="167" t="s">
        <v>95</v>
      </c>
      <c r="BM183" s="261" t="s">
        <v>2016</v>
      </c>
    </row>
    <row r="184" spans="2:65" s="234" customFormat="1" ht="22.9" customHeight="1" x14ac:dyDescent="0.2">
      <c r="B184" s="235"/>
      <c r="D184" s="236" t="s">
        <v>1870</v>
      </c>
      <c r="E184" s="245" t="s">
        <v>2017</v>
      </c>
      <c r="F184" s="245" t="s">
        <v>2018</v>
      </c>
      <c r="I184" s="238"/>
      <c r="J184" s="246">
        <f>BK184</f>
        <v>0</v>
      </c>
      <c r="L184" s="235"/>
      <c r="M184" s="240"/>
      <c r="P184" s="241">
        <f>SUM(P185:P190)</f>
        <v>0</v>
      </c>
      <c r="R184" s="241">
        <f>SUM(R185:R190)</f>
        <v>8.0000000000000007E-5</v>
      </c>
      <c r="T184" s="242">
        <f>SUM(T185:T190)</f>
        <v>0</v>
      </c>
      <c r="AR184" s="236" t="s">
        <v>227</v>
      </c>
      <c r="AT184" s="243" t="s">
        <v>1870</v>
      </c>
      <c r="AU184" s="243" t="s">
        <v>219</v>
      </c>
      <c r="AY184" s="236" t="s">
        <v>1873</v>
      </c>
      <c r="BK184" s="244">
        <f>SUM(BK185:BK190)</f>
        <v>0</v>
      </c>
    </row>
    <row r="185" spans="2:65" s="173" customFormat="1" ht="24.2" customHeight="1" x14ac:dyDescent="0.25">
      <c r="B185" s="247"/>
      <c r="C185" s="263" t="s">
        <v>369</v>
      </c>
      <c r="D185" s="263" t="s">
        <v>1881</v>
      </c>
      <c r="E185" s="264" t="s">
        <v>2019</v>
      </c>
      <c r="F185" s="265" t="s">
        <v>2020</v>
      </c>
      <c r="G185" s="266" t="s">
        <v>329</v>
      </c>
      <c r="H185" s="267">
        <v>2</v>
      </c>
      <c r="I185" s="268"/>
      <c r="J185" s="269">
        <f t="shared" ref="J185:J190" si="30">ROUND(I185*H185,2)</f>
        <v>0</v>
      </c>
      <c r="K185" s="270"/>
      <c r="L185" s="174"/>
      <c r="M185" s="271" t="s">
        <v>4</v>
      </c>
      <c r="N185" s="272" t="s">
        <v>1821</v>
      </c>
      <c r="P185" s="259">
        <f t="shared" ref="P185:P190" si="31">O185*H185</f>
        <v>0</v>
      </c>
      <c r="Q185" s="259">
        <v>0</v>
      </c>
      <c r="R185" s="259">
        <f t="shared" ref="R185:R190" si="32">Q185*H185</f>
        <v>0</v>
      </c>
      <c r="S185" s="259">
        <v>0</v>
      </c>
      <c r="T185" s="260">
        <f t="shared" ref="T185:T190" si="33">S185*H185</f>
        <v>0</v>
      </c>
      <c r="AR185" s="261" t="s">
        <v>95</v>
      </c>
      <c r="AT185" s="261" t="s">
        <v>1881</v>
      </c>
      <c r="AU185" s="261" t="s">
        <v>227</v>
      </c>
      <c r="AY185" s="167" t="s">
        <v>1873</v>
      </c>
      <c r="BE185" s="262">
        <f t="shared" ref="BE185:BE190" si="34">IF(N185="základní",J185,0)</f>
        <v>0</v>
      </c>
      <c r="BF185" s="262">
        <f t="shared" ref="BF185:BF190" si="35">IF(N185="snížená",J185,0)</f>
        <v>0</v>
      </c>
      <c r="BG185" s="262">
        <f t="shared" ref="BG185:BG190" si="36">IF(N185="zákl. přenesená",J185,0)</f>
        <v>0</v>
      </c>
      <c r="BH185" s="262">
        <f t="shared" ref="BH185:BH190" si="37">IF(N185="sníž. přenesená",J185,0)</f>
        <v>0</v>
      </c>
      <c r="BI185" s="262">
        <f t="shared" ref="BI185:BI190" si="38">IF(N185="nulová",J185,0)</f>
        <v>0</v>
      </c>
      <c r="BJ185" s="167" t="s">
        <v>219</v>
      </c>
      <c r="BK185" s="262">
        <f t="shared" ref="BK185:BK190" si="39">ROUND(I185*H185,2)</f>
        <v>0</v>
      </c>
      <c r="BL185" s="167" t="s">
        <v>95</v>
      </c>
      <c r="BM185" s="261" t="s">
        <v>2021</v>
      </c>
    </row>
    <row r="186" spans="2:65" s="173" customFormat="1" ht="16.5" customHeight="1" x14ac:dyDescent="0.25">
      <c r="B186" s="247"/>
      <c r="C186" s="248" t="s">
        <v>372</v>
      </c>
      <c r="D186" s="248" t="s">
        <v>1876</v>
      </c>
      <c r="E186" s="249" t="s">
        <v>2022</v>
      </c>
      <c r="F186" s="250" t="s">
        <v>2023</v>
      </c>
      <c r="G186" s="251" t="s">
        <v>1901</v>
      </c>
      <c r="H186" s="252">
        <v>2</v>
      </c>
      <c r="I186" s="253"/>
      <c r="J186" s="254">
        <f t="shared" si="30"/>
        <v>0</v>
      </c>
      <c r="K186" s="255"/>
      <c r="L186" s="256"/>
      <c r="M186" s="257" t="s">
        <v>4</v>
      </c>
      <c r="N186" s="258" t="s">
        <v>1821</v>
      </c>
      <c r="P186" s="259">
        <f t="shared" si="31"/>
        <v>0</v>
      </c>
      <c r="Q186" s="259">
        <v>0</v>
      </c>
      <c r="R186" s="259">
        <f t="shared" si="32"/>
        <v>0</v>
      </c>
      <c r="S186" s="259">
        <v>0</v>
      </c>
      <c r="T186" s="260">
        <f t="shared" si="33"/>
        <v>0</v>
      </c>
      <c r="AR186" s="261" t="s">
        <v>321</v>
      </c>
      <c r="AT186" s="261" t="s">
        <v>1876</v>
      </c>
      <c r="AU186" s="261" t="s">
        <v>227</v>
      </c>
      <c r="AY186" s="167" t="s">
        <v>1873</v>
      </c>
      <c r="BE186" s="262">
        <f t="shared" si="34"/>
        <v>0</v>
      </c>
      <c r="BF186" s="262">
        <f t="shared" si="35"/>
        <v>0</v>
      </c>
      <c r="BG186" s="262">
        <f t="shared" si="36"/>
        <v>0</v>
      </c>
      <c r="BH186" s="262">
        <f t="shared" si="37"/>
        <v>0</v>
      </c>
      <c r="BI186" s="262">
        <f t="shared" si="38"/>
        <v>0</v>
      </c>
      <c r="BJ186" s="167" t="s">
        <v>219</v>
      </c>
      <c r="BK186" s="262">
        <f t="shared" si="39"/>
        <v>0</v>
      </c>
      <c r="BL186" s="167" t="s">
        <v>95</v>
      </c>
      <c r="BM186" s="261" t="s">
        <v>2024</v>
      </c>
    </row>
    <row r="187" spans="2:65" s="173" customFormat="1" ht="21.75" customHeight="1" x14ac:dyDescent="0.25">
      <c r="B187" s="247"/>
      <c r="C187" s="263" t="s">
        <v>375</v>
      </c>
      <c r="D187" s="263" t="s">
        <v>1881</v>
      </c>
      <c r="E187" s="264" t="s">
        <v>2025</v>
      </c>
      <c r="F187" s="265" t="s">
        <v>2026</v>
      </c>
      <c r="G187" s="266" t="s">
        <v>329</v>
      </c>
      <c r="H187" s="267">
        <v>1</v>
      </c>
      <c r="I187" s="268"/>
      <c r="J187" s="269">
        <f t="shared" si="30"/>
        <v>0</v>
      </c>
      <c r="K187" s="270"/>
      <c r="L187" s="174"/>
      <c r="M187" s="271" t="s">
        <v>4</v>
      </c>
      <c r="N187" s="272" t="s">
        <v>1821</v>
      </c>
      <c r="P187" s="259">
        <f t="shared" si="31"/>
        <v>0</v>
      </c>
      <c r="Q187" s="259">
        <v>0</v>
      </c>
      <c r="R187" s="259">
        <f t="shared" si="32"/>
        <v>0</v>
      </c>
      <c r="S187" s="259">
        <v>0</v>
      </c>
      <c r="T187" s="260">
        <f t="shared" si="33"/>
        <v>0</v>
      </c>
      <c r="AR187" s="261" t="s">
        <v>95</v>
      </c>
      <c r="AT187" s="261" t="s">
        <v>1881</v>
      </c>
      <c r="AU187" s="261" t="s">
        <v>227</v>
      </c>
      <c r="AY187" s="167" t="s">
        <v>1873</v>
      </c>
      <c r="BE187" s="262">
        <f t="shared" si="34"/>
        <v>0</v>
      </c>
      <c r="BF187" s="262">
        <f t="shared" si="35"/>
        <v>0</v>
      </c>
      <c r="BG187" s="262">
        <f t="shared" si="36"/>
        <v>0</v>
      </c>
      <c r="BH187" s="262">
        <f t="shared" si="37"/>
        <v>0</v>
      </c>
      <c r="BI187" s="262">
        <f t="shared" si="38"/>
        <v>0</v>
      </c>
      <c r="BJ187" s="167" t="s">
        <v>219</v>
      </c>
      <c r="BK187" s="262">
        <f t="shared" si="39"/>
        <v>0</v>
      </c>
      <c r="BL187" s="167" t="s">
        <v>95</v>
      </c>
      <c r="BM187" s="261" t="s">
        <v>2027</v>
      </c>
    </row>
    <row r="188" spans="2:65" s="173" customFormat="1" ht="24.2" customHeight="1" x14ac:dyDescent="0.25">
      <c r="B188" s="247"/>
      <c r="C188" s="248" t="s">
        <v>378</v>
      </c>
      <c r="D188" s="248" t="s">
        <v>1876</v>
      </c>
      <c r="E188" s="249" t="s">
        <v>2028</v>
      </c>
      <c r="F188" s="250" t="s">
        <v>2029</v>
      </c>
      <c r="G188" s="251" t="s">
        <v>329</v>
      </c>
      <c r="H188" s="252">
        <v>1</v>
      </c>
      <c r="I188" s="253"/>
      <c r="J188" s="254">
        <f t="shared" si="30"/>
        <v>0</v>
      </c>
      <c r="K188" s="255"/>
      <c r="L188" s="256"/>
      <c r="M188" s="257" t="s">
        <v>4</v>
      </c>
      <c r="N188" s="258" t="s">
        <v>1821</v>
      </c>
      <c r="P188" s="259">
        <f t="shared" si="31"/>
        <v>0</v>
      </c>
      <c r="Q188" s="259">
        <v>8.0000000000000007E-5</v>
      </c>
      <c r="R188" s="259">
        <f t="shared" si="32"/>
        <v>8.0000000000000007E-5</v>
      </c>
      <c r="S188" s="259">
        <v>0</v>
      </c>
      <c r="T188" s="260">
        <f t="shared" si="33"/>
        <v>0</v>
      </c>
      <c r="AR188" s="261" t="s">
        <v>321</v>
      </c>
      <c r="AT188" s="261" t="s">
        <v>1876</v>
      </c>
      <c r="AU188" s="261" t="s">
        <v>227</v>
      </c>
      <c r="AY188" s="167" t="s">
        <v>1873</v>
      </c>
      <c r="BE188" s="262">
        <f t="shared" si="34"/>
        <v>0</v>
      </c>
      <c r="BF188" s="262">
        <f t="shared" si="35"/>
        <v>0</v>
      </c>
      <c r="BG188" s="262">
        <f t="shared" si="36"/>
        <v>0</v>
      </c>
      <c r="BH188" s="262">
        <f t="shared" si="37"/>
        <v>0</v>
      </c>
      <c r="BI188" s="262">
        <f t="shared" si="38"/>
        <v>0</v>
      </c>
      <c r="BJ188" s="167" t="s">
        <v>219</v>
      </c>
      <c r="BK188" s="262">
        <f t="shared" si="39"/>
        <v>0</v>
      </c>
      <c r="BL188" s="167" t="s">
        <v>95</v>
      </c>
      <c r="BM188" s="261" t="s">
        <v>2030</v>
      </c>
    </row>
    <row r="189" spans="2:65" s="173" customFormat="1" ht="24.2" customHeight="1" x14ac:dyDescent="0.25">
      <c r="B189" s="247"/>
      <c r="C189" s="263" t="s">
        <v>381</v>
      </c>
      <c r="D189" s="263" t="s">
        <v>1881</v>
      </c>
      <c r="E189" s="264" t="s">
        <v>2031</v>
      </c>
      <c r="F189" s="265" t="s">
        <v>2032</v>
      </c>
      <c r="G189" s="266" t="s">
        <v>329</v>
      </c>
      <c r="H189" s="267">
        <v>1</v>
      </c>
      <c r="I189" s="268"/>
      <c r="J189" s="269">
        <f t="shared" si="30"/>
        <v>0</v>
      </c>
      <c r="K189" s="270"/>
      <c r="L189" s="174"/>
      <c r="M189" s="271" t="s">
        <v>4</v>
      </c>
      <c r="N189" s="272" t="s">
        <v>1821</v>
      </c>
      <c r="P189" s="259">
        <f t="shared" si="31"/>
        <v>0</v>
      </c>
      <c r="Q189" s="259">
        <v>0</v>
      </c>
      <c r="R189" s="259">
        <f t="shared" si="32"/>
        <v>0</v>
      </c>
      <c r="S189" s="259">
        <v>0</v>
      </c>
      <c r="T189" s="260">
        <f t="shared" si="33"/>
        <v>0</v>
      </c>
      <c r="AR189" s="261" t="s">
        <v>95</v>
      </c>
      <c r="AT189" s="261" t="s">
        <v>1881</v>
      </c>
      <c r="AU189" s="261" t="s">
        <v>227</v>
      </c>
      <c r="AY189" s="167" t="s">
        <v>1873</v>
      </c>
      <c r="BE189" s="262">
        <f t="shared" si="34"/>
        <v>0</v>
      </c>
      <c r="BF189" s="262">
        <f t="shared" si="35"/>
        <v>0</v>
      </c>
      <c r="BG189" s="262">
        <f t="shared" si="36"/>
        <v>0</v>
      </c>
      <c r="BH189" s="262">
        <f t="shared" si="37"/>
        <v>0</v>
      </c>
      <c r="BI189" s="262">
        <f t="shared" si="38"/>
        <v>0</v>
      </c>
      <c r="BJ189" s="167" t="s">
        <v>219</v>
      </c>
      <c r="BK189" s="262">
        <f t="shared" si="39"/>
        <v>0</v>
      </c>
      <c r="BL189" s="167" t="s">
        <v>95</v>
      </c>
      <c r="BM189" s="261" t="s">
        <v>2033</v>
      </c>
    </row>
    <row r="190" spans="2:65" s="173" customFormat="1" ht="16.5" customHeight="1" x14ac:dyDescent="0.25">
      <c r="B190" s="247"/>
      <c r="C190" s="248" t="s">
        <v>384</v>
      </c>
      <c r="D190" s="248" t="s">
        <v>1876</v>
      </c>
      <c r="E190" s="249" t="s">
        <v>2034</v>
      </c>
      <c r="F190" s="250" t="s">
        <v>2035</v>
      </c>
      <c r="G190" s="251" t="s">
        <v>1901</v>
      </c>
      <c r="H190" s="252">
        <v>1</v>
      </c>
      <c r="I190" s="253"/>
      <c r="J190" s="254">
        <f t="shared" si="30"/>
        <v>0</v>
      </c>
      <c r="K190" s="255"/>
      <c r="L190" s="256"/>
      <c r="M190" s="257" t="s">
        <v>4</v>
      </c>
      <c r="N190" s="258" t="s">
        <v>1821</v>
      </c>
      <c r="P190" s="259">
        <f t="shared" si="31"/>
        <v>0</v>
      </c>
      <c r="Q190" s="259">
        <v>0</v>
      </c>
      <c r="R190" s="259">
        <f t="shared" si="32"/>
        <v>0</v>
      </c>
      <c r="S190" s="259">
        <v>0</v>
      </c>
      <c r="T190" s="260">
        <f t="shared" si="33"/>
        <v>0</v>
      </c>
      <c r="AR190" s="261" t="s">
        <v>321</v>
      </c>
      <c r="AT190" s="261" t="s">
        <v>1876</v>
      </c>
      <c r="AU190" s="261" t="s">
        <v>227</v>
      </c>
      <c r="AY190" s="167" t="s">
        <v>1873</v>
      </c>
      <c r="BE190" s="262">
        <f t="shared" si="34"/>
        <v>0</v>
      </c>
      <c r="BF190" s="262">
        <f t="shared" si="35"/>
        <v>0</v>
      </c>
      <c r="BG190" s="262">
        <f t="shared" si="36"/>
        <v>0</v>
      </c>
      <c r="BH190" s="262">
        <f t="shared" si="37"/>
        <v>0</v>
      </c>
      <c r="BI190" s="262">
        <f t="shared" si="38"/>
        <v>0</v>
      </c>
      <c r="BJ190" s="167" t="s">
        <v>219</v>
      </c>
      <c r="BK190" s="262">
        <f t="shared" si="39"/>
        <v>0</v>
      </c>
      <c r="BL190" s="167" t="s">
        <v>95</v>
      </c>
      <c r="BM190" s="261" t="s">
        <v>2036</v>
      </c>
    </row>
    <row r="191" spans="2:65" s="234" customFormat="1" ht="22.9" customHeight="1" x14ac:dyDescent="0.2">
      <c r="B191" s="235"/>
      <c r="D191" s="236" t="s">
        <v>1870</v>
      </c>
      <c r="E191" s="245" t="s">
        <v>2037</v>
      </c>
      <c r="F191" s="245" t="s">
        <v>2038</v>
      </c>
      <c r="I191" s="238"/>
      <c r="J191" s="246">
        <f>BK191</f>
        <v>0</v>
      </c>
      <c r="L191" s="235"/>
      <c r="M191" s="240"/>
      <c r="P191" s="241">
        <f>SUM(P192:P193)</f>
        <v>0</v>
      </c>
      <c r="R191" s="241">
        <f>SUM(R192:R193)</f>
        <v>0</v>
      </c>
      <c r="T191" s="242">
        <f>SUM(T192:T193)</f>
        <v>0</v>
      </c>
      <c r="AR191" s="236" t="s">
        <v>227</v>
      </c>
      <c r="AT191" s="243" t="s">
        <v>1870</v>
      </c>
      <c r="AU191" s="243" t="s">
        <v>219</v>
      </c>
      <c r="AY191" s="236" t="s">
        <v>1873</v>
      </c>
      <c r="BK191" s="244">
        <f>SUM(BK192:BK193)</f>
        <v>0</v>
      </c>
    </row>
    <row r="192" spans="2:65" s="173" customFormat="1" ht="16.5" customHeight="1" x14ac:dyDescent="0.25">
      <c r="B192" s="247"/>
      <c r="C192" s="263" t="s">
        <v>387</v>
      </c>
      <c r="D192" s="263" t="s">
        <v>1881</v>
      </c>
      <c r="E192" s="264" t="s">
        <v>2039</v>
      </c>
      <c r="F192" s="265" t="s">
        <v>2040</v>
      </c>
      <c r="G192" s="266" t="s">
        <v>329</v>
      </c>
      <c r="H192" s="267">
        <v>11</v>
      </c>
      <c r="I192" s="268"/>
      <c r="J192" s="269">
        <f>ROUND(I192*H192,2)</f>
        <v>0</v>
      </c>
      <c r="K192" s="270"/>
      <c r="L192" s="174"/>
      <c r="M192" s="271" t="s">
        <v>4</v>
      </c>
      <c r="N192" s="272" t="s">
        <v>1821</v>
      </c>
      <c r="P192" s="259">
        <f>O192*H192</f>
        <v>0</v>
      </c>
      <c r="Q192" s="259">
        <v>0</v>
      </c>
      <c r="R192" s="259">
        <f>Q192*H192</f>
        <v>0</v>
      </c>
      <c r="S192" s="259">
        <v>0</v>
      </c>
      <c r="T192" s="260">
        <f>S192*H192</f>
        <v>0</v>
      </c>
      <c r="AR192" s="261" t="s">
        <v>127</v>
      </c>
      <c r="AT192" s="261" t="s">
        <v>1881</v>
      </c>
      <c r="AU192" s="261" t="s">
        <v>227</v>
      </c>
      <c r="AY192" s="167" t="s">
        <v>1873</v>
      </c>
      <c r="BE192" s="262">
        <f>IF(N192="základní",J192,0)</f>
        <v>0</v>
      </c>
      <c r="BF192" s="262">
        <f>IF(N192="snížená",J192,0)</f>
        <v>0</v>
      </c>
      <c r="BG192" s="262">
        <f>IF(N192="zákl. přenesená",J192,0)</f>
        <v>0</v>
      </c>
      <c r="BH192" s="262">
        <f>IF(N192="sníž. přenesená",J192,0)</f>
        <v>0</v>
      </c>
      <c r="BI192" s="262">
        <f>IF(N192="nulová",J192,0)</f>
        <v>0</v>
      </c>
      <c r="BJ192" s="167" t="s">
        <v>219</v>
      </c>
      <c r="BK192" s="262">
        <f>ROUND(I192*H192,2)</f>
        <v>0</v>
      </c>
      <c r="BL192" s="167" t="s">
        <v>127</v>
      </c>
      <c r="BM192" s="261" t="s">
        <v>2041</v>
      </c>
    </row>
    <row r="193" spans="2:65" s="173" customFormat="1" ht="16.5" customHeight="1" x14ac:dyDescent="0.25">
      <c r="B193" s="247"/>
      <c r="C193" s="248" t="s">
        <v>390</v>
      </c>
      <c r="D193" s="248" t="s">
        <v>1876</v>
      </c>
      <c r="E193" s="249" t="s">
        <v>2042</v>
      </c>
      <c r="F193" s="250" t="s">
        <v>2043</v>
      </c>
      <c r="G193" s="251" t="s">
        <v>1901</v>
      </c>
      <c r="H193" s="252">
        <v>11</v>
      </c>
      <c r="I193" s="253"/>
      <c r="J193" s="254">
        <f>ROUND(I193*H193,2)</f>
        <v>0</v>
      </c>
      <c r="K193" s="255"/>
      <c r="L193" s="256"/>
      <c r="M193" s="257" t="s">
        <v>4</v>
      </c>
      <c r="N193" s="258" t="s">
        <v>1821</v>
      </c>
      <c r="P193" s="259">
        <f>O193*H193</f>
        <v>0</v>
      </c>
      <c r="Q193" s="259">
        <v>0</v>
      </c>
      <c r="R193" s="259">
        <f>Q193*H193</f>
        <v>0</v>
      </c>
      <c r="S193" s="259">
        <v>0</v>
      </c>
      <c r="T193" s="260">
        <f>S193*H193</f>
        <v>0</v>
      </c>
      <c r="AR193" s="261" t="s">
        <v>1009</v>
      </c>
      <c r="AT193" s="261" t="s">
        <v>1876</v>
      </c>
      <c r="AU193" s="261" t="s">
        <v>227</v>
      </c>
      <c r="AY193" s="167" t="s">
        <v>1873</v>
      </c>
      <c r="BE193" s="262">
        <f>IF(N193="základní",J193,0)</f>
        <v>0</v>
      </c>
      <c r="BF193" s="262">
        <f>IF(N193="snížená",J193,0)</f>
        <v>0</v>
      </c>
      <c r="BG193" s="262">
        <f>IF(N193="zákl. přenesená",J193,0)</f>
        <v>0</v>
      </c>
      <c r="BH193" s="262">
        <f>IF(N193="sníž. přenesená",J193,0)</f>
        <v>0</v>
      </c>
      <c r="BI193" s="262">
        <f>IF(N193="nulová",J193,0)</f>
        <v>0</v>
      </c>
      <c r="BJ193" s="167" t="s">
        <v>219</v>
      </c>
      <c r="BK193" s="262">
        <f>ROUND(I193*H193,2)</f>
        <v>0</v>
      </c>
      <c r="BL193" s="167" t="s">
        <v>127</v>
      </c>
      <c r="BM193" s="261" t="s">
        <v>2044</v>
      </c>
    </row>
    <row r="194" spans="2:65" s="234" customFormat="1" ht="22.9" customHeight="1" x14ac:dyDescent="0.2">
      <c r="B194" s="235"/>
      <c r="D194" s="236" t="s">
        <v>1870</v>
      </c>
      <c r="E194" s="245" t="s">
        <v>2045</v>
      </c>
      <c r="F194" s="245" t="s">
        <v>2046</v>
      </c>
      <c r="I194" s="238"/>
      <c r="J194" s="246">
        <f>BK194</f>
        <v>0</v>
      </c>
      <c r="L194" s="235"/>
      <c r="M194" s="240"/>
      <c r="P194" s="241">
        <f>SUM(P195:P197)</f>
        <v>0</v>
      </c>
      <c r="R194" s="241">
        <f>SUM(R195:R197)</f>
        <v>0</v>
      </c>
      <c r="T194" s="242">
        <f>SUM(T195:T197)</f>
        <v>0</v>
      </c>
      <c r="AR194" s="236" t="s">
        <v>227</v>
      </c>
      <c r="AT194" s="243" t="s">
        <v>1870</v>
      </c>
      <c r="AU194" s="243" t="s">
        <v>219</v>
      </c>
      <c r="AY194" s="236" t="s">
        <v>1873</v>
      </c>
      <c r="BK194" s="244">
        <f>SUM(BK195:BK197)</f>
        <v>0</v>
      </c>
    </row>
    <row r="195" spans="2:65" s="173" customFormat="1" ht="21.75" customHeight="1" x14ac:dyDescent="0.25">
      <c r="B195" s="247"/>
      <c r="C195" s="263" t="s">
        <v>393</v>
      </c>
      <c r="D195" s="263" t="s">
        <v>1881</v>
      </c>
      <c r="E195" s="264" t="s">
        <v>2047</v>
      </c>
      <c r="F195" s="265" t="s">
        <v>2048</v>
      </c>
      <c r="G195" s="266" t="s">
        <v>329</v>
      </c>
      <c r="H195" s="267">
        <v>8</v>
      </c>
      <c r="I195" s="268"/>
      <c r="J195" s="269">
        <f>ROUND(I195*H195,2)</f>
        <v>0</v>
      </c>
      <c r="K195" s="270"/>
      <c r="L195" s="174"/>
      <c r="M195" s="271" t="s">
        <v>4</v>
      </c>
      <c r="N195" s="272" t="s">
        <v>1821</v>
      </c>
      <c r="P195" s="259">
        <f>O195*H195</f>
        <v>0</v>
      </c>
      <c r="Q195" s="259">
        <v>0</v>
      </c>
      <c r="R195" s="259">
        <f>Q195*H195</f>
        <v>0</v>
      </c>
      <c r="S195" s="259">
        <v>0</v>
      </c>
      <c r="T195" s="260">
        <f>S195*H195</f>
        <v>0</v>
      </c>
      <c r="AR195" s="261" t="s">
        <v>95</v>
      </c>
      <c r="AT195" s="261" t="s">
        <v>1881</v>
      </c>
      <c r="AU195" s="261" t="s">
        <v>227</v>
      </c>
      <c r="AY195" s="167" t="s">
        <v>1873</v>
      </c>
      <c r="BE195" s="262">
        <f>IF(N195="základní",J195,0)</f>
        <v>0</v>
      </c>
      <c r="BF195" s="262">
        <f>IF(N195="snížená",J195,0)</f>
        <v>0</v>
      </c>
      <c r="BG195" s="262">
        <f>IF(N195="zákl. přenesená",J195,0)</f>
        <v>0</v>
      </c>
      <c r="BH195" s="262">
        <f>IF(N195="sníž. přenesená",J195,0)</f>
        <v>0</v>
      </c>
      <c r="BI195" s="262">
        <f>IF(N195="nulová",J195,0)</f>
        <v>0</v>
      </c>
      <c r="BJ195" s="167" t="s">
        <v>219</v>
      </c>
      <c r="BK195" s="262">
        <f>ROUND(I195*H195,2)</f>
        <v>0</v>
      </c>
      <c r="BL195" s="167" t="s">
        <v>95</v>
      </c>
      <c r="BM195" s="261" t="s">
        <v>2049</v>
      </c>
    </row>
    <row r="196" spans="2:65" s="173" customFormat="1" ht="24.2" customHeight="1" x14ac:dyDescent="0.25">
      <c r="B196" s="247"/>
      <c r="C196" s="248" t="s">
        <v>117</v>
      </c>
      <c r="D196" s="248" t="s">
        <v>1876</v>
      </c>
      <c r="E196" s="249" t="s">
        <v>2050</v>
      </c>
      <c r="F196" s="250" t="s">
        <v>2051</v>
      </c>
      <c r="G196" s="251" t="s">
        <v>1695</v>
      </c>
      <c r="H196" s="252">
        <v>2</v>
      </c>
      <c r="I196" s="253"/>
      <c r="J196" s="254">
        <f>ROUND(I196*H196,2)</f>
        <v>0</v>
      </c>
      <c r="K196" s="255"/>
      <c r="L196" s="256"/>
      <c r="M196" s="257" t="s">
        <v>4</v>
      </c>
      <c r="N196" s="258" t="s">
        <v>1821</v>
      </c>
      <c r="P196" s="259">
        <f>O196*H196</f>
        <v>0</v>
      </c>
      <c r="Q196" s="259">
        <v>0</v>
      </c>
      <c r="R196" s="259">
        <f>Q196*H196</f>
        <v>0</v>
      </c>
      <c r="S196" s="259">
        <v>0</v>
      </c>
      <c r="T196" s="260">
        <f>S196*H196</f>
        <v>0</v>
      </c>
      <c r="AR196" s="261" t="s">
        <v>321</v>
      </c>
      <c r="AT196" s="261" t="s">
        <v>1876</v>
      </c>
      <c r="AU196" s="261" t="s">
        <v>227</v>
      </c>
      <c r="AY196" s="167" t="s">
        <v>1873</v>
      </c>
      <c r="BE196" s="262">
        <f>IF(N196="základní",J196,0)</f>
        <v>0</v>
      </c>
      <c r="BF196" s="262">
        <f>IF(N196="snížená",J196,0)</f>
        <v>0</v>
      </c>
      <c r="BG196" s="262">
        <f>IF(N196="zákl. přenesená",J196,0)</f>
        <v>0</v>
      </c>
      <c r="BH196" s="262">
        <f>IF(N196="sníž. přenesená",J196,0)</f>
        <v>0</v>
      </c>
      <c r="BI196" s="262">
        <f>IF(N196="nulová",J196,0)</f>
        <v>0</v>
      </c>
      <c r="BJ196" s="167" t="s">
        <v>219</v>
      </c>
      <c r="BK196" s="262">
        <f>ROUND(I196*H196,2)</f>
        <v>0</v>
      </c>
      <c r="BL196" s="167" t="s">
        <v>95</v>
      </c>
      <c r="BM196" s="261" t="s">
        <v>2052</v>
      </c>
    </row>
    <row r="197" spans="2:65" s="173" customFormat="1" ht="33" customHeight="1" x14ac:dyDescent="0.25">
      <c r="B197" s="247"/>
      <c r="C197" s="248" t="s">
        <v>399</v>
      </c>
      <c r="D197" s="248" t="s">
        <v>1876</v>
      </c>
      <c r="E197" s="249" t="s">
        <v>2053</v>
      </c>
      <c r="F197" s="250" t="s">
        <v>2054</v>
      </c>
      <c r="G197" s="251" t="s">
        <v>1695</v>
      </c>
      <c r="H197" s="252">
        <v>6</v>
      </c>
      <c r="I197" s="253"/>
      <c r="J197" s="254">
        <f>ROUND(I197*H197,2)</f>
        <v>0</v>
      </c>
      <c r="K197" s="255"/>
      <c r="L197" s="256"/>
      <c r="M197" s="257" t="s">
        <v>4</v>
      </c>
      <c r="N197" s="258" t="s">
        <v>1821</v>
      </c>
      <c r="P197" s="259">
        <f>O197*H197</f>
        <v>0</v>
      </c>
      <c r="Q197" s="259">
        <v>0</v>
      </c>
      <c r="R197" s="259">
        <f>Q197*H197</f>
        <v>0</v>
      </c>
      <c r="S197" s="259">
        <v>0</v>
      </c>
      <c r="T197" s="260">
        <f>S197*H197</f>
        <v>0</v>
      </c>
      <c r="AR197" s="261" t="s">
        <v>321</v>
      </c>
      <c r="AT197" s="261" t="s">
        <v>1876</v>
      </c>
      <c r="AU197" s="261" t="s">
        <v>227</v>
      </c>
      <c r="AY197" s="167" t="s">
        <v>1873</v>
      </c>
      <c r="BE197" s="262">
        <f>IF(N197="základní",J197,0)</f>
        <v>0</v>
      </c>
      <c r="BF197" s="262">
        <f>IF(N197="snížená",J197,0)</f>
        <v>0</v>
      </c>
      <c r="BG197" s="262">
        <f>IF(N197="zákl. přenesená",J197,0)</f>
        <v>0</v>
      </c>
      <c r="BH197" s="262">
        <f>IF(N197="sníž. přenesená",J197,0)</f>
        <v>0</v>
      </c>
      <c r="BI197" s="262">
        <f>IF(N197="nulová",J197,0)</f>
        <v>0</v>
      </c>
      <c r="BJ197" s="167" t="s">
        <v>219</v>
      </c>
      <c r="BK197" s="262">
        <f>ROUND(I197*H197,2)</f>
        <v>0</v>
      </c>
      <c r="BL197" s="167" t="s">
        <v>95</v>
      </c>
      <c r="BM197" s="261" t="s">
        <v>2055</v>
      </c>
    </row>
    <row r="198" spans="2:65" s="234" customFormat="1" ht="25.9" customHeight="1" x14ac:dyDescent="0.2">
      <c r="B198" s="235"/>
      <c r="D198" s="236" t="s">
        <v>1870</v>
      </c>
      <c r="E198" s="237" t="s">
        <v>1876</v>
      </c>
      <c r="F198" s="237" t="s">
        <v>2056</v>
      </c>
      <c r="I198" s="238"/>
      <c r="J198" s="239">
        <f>BK198</f>
        <v>0</v>
      </c>
      <c r="L198" s="235"/>
      <c r="M198" s="240"/>
      <c r="P198" s="241">
        <f>P199+P302+P341+P345</f>
        <v>0</v>
      </c>
      <c r="R198" s="241">
        <f>R199+R302+R341+R345</f>
        <v>0.60210600000000003</v>
      </c>
      <c r="T198" s="242">
        <f>T199+T302+T341+T345</f>
        <v>0</v>
      </c>
      <c r="AR198" s="236" t="s">
        <v>230</v>
      </c>
      <c r="AT198" s="243" t="s">
        <v>1870</v>
      </c>
      <c r="AU198" s="243" t="s">
        <v>1872</v>
      </c>
      <c r="AY198" s="236" t="s">
        <v>1873</v>
      </c>
      <c r="BK198" s="244">
        <f>BK199+BK302+BK341+BK345</f>
        <v>0</v>
      </c>
    </row>
    <row r="199" spans="2:65" s="234" customFormat="1" ht="22.9" customHeight="1" x14ac:dyDescent="0.2">
      <c r="B199" s="235"/>
      <c r="D199" s="236" t="s">
        <v>1870</v>
      </c>
      <c r="E199" s="245" t="s">
        <v>2057</v>
      </c>
      <c r="F199" s="245" t="s">
        <v>180</v>
      </c>
      <c r="I199" s="238"/>
      <c r="J199" s="246">
        <f>BK199</f>
        <v>0</v>
      </c>
      <c r="L199" s="235"/>
      <c r="M199" s="240"/>
      <c r="P199" s="241">
        <f>SUM(P200:P301)</f>
        <v>0</v>
      </c>
      <c r="R199" s="241">
        <f>SUM(R200:R301)</f>
        <v>0.60023000000000004</v>
      </c>
      <c r="T199" s="242">
        <f>SUM(T200:T301)</f>
        <v>0</v>
      </c>
      <c r="AR199" s="236" t="s">
        <v>230</v>
      </c>
      <c r="AT199" s="243" t="s">
        <v>1870</v>
      </c>
      <c r="AU199" s="243" t="s">
        <v>219</v>
      </c>
      <c r="AY199" s="236" t="s">
        <v>1873</v>
      </c>
      <c r="BK199" s="244">
        <f>SUM(BK200:BK301)</f>
        <v>0</v>
      </c>
    </row>
    <row r="200" spans="2:65" s="173" customFormat="1" ht="16.5" customHeight="1" x14ac:dyDescent="0.25">
      <c r="B200" s="247"/>
      <c r="C200" s="248" t="s">
        <v>402</v>
      </c>
      <c r="D200" s="248" t="s">
        <v>1876</v>
      </c>
      <c r="E200" s="249" t="s">
        <v>2058</v>
      </c>
      <c r="F200" s="250" t="s">
        <v>2059</v>
      </c>
      <c r="G200" s="251" t="s">
        <v>783</v>
      </c>
      <c r="H200" s="252">
        <v>1</v>
      </c>
      <c r="I200" s="253"/>
      <c r="J200" s="254">
        <f t="shared" ref="J200:J263" si="40">ROUND(I200*H200,2)</f>
        <v>0</v>
      </c>
      <c r="K200" s="255"/>
      <c r="L200" s="256"/>
      <c r="M200" s="257" t="s">
        <v>4</v>
      </c>
      <c r="N200" s="258" t="s">
        <v>1821</v>
      </c>
      <c r="P200" s="259">
        <f t="shared" ref="P200:P263" si="41">O200*H200</f>
        <v>0</v>
      </c>
      <c r="Q200" s="259">
        <v>1E-3</v>
      </c>
      <c r="R200" s="259">
        <f t="shared" ref="R200:R263" si="42">Q200*H200</f>
        <v>1E-3</v>
      </c>
      <c r="S200" s="259">
        <v>0</v>
      </c>
      <c r="T200" s="260">
        <f t="shared" ref="T200:T263" si="43">S200*H200</f>
        <v>0</v>
      </c>
      <c r="AR200" s="261" t="s">
        <v>611</v>
      </c>
      <c r="AT200" s="261" t="s">
        <v>1876</v>
      </c>
      <c r="AU200" s="261" t="s">
        <v>227</v>
      </c>
      <c r="AY200" s="167" t="s">
        <v>1873</v>
      </c>
      <c r="BE200" s="262">
        <f t="shared" ref="BE200:BE263" si="44">IF(N200="základní",J200,0)</f>
        <v>0</v>
      </c>
      <c r="BF200" s="262">
        <f t="shared" ref="BF200:BF263" si="45">IF(N200="snížená",J200,0)</f>
        <v>0</v>
      </c>
      <c r="BG200" s="262">
        <f t="shared" ref="BG200:BG263" si="46">IF(N200="zákl. přenesená",J200,0)</f>
        <v>0</v>
      </c>
      <c r="BH200" s="262">
        <f t="shared" ref="BH200:BH263" si="47">IF(N200="sníž. přenesená",J200,0)</f>
        <v>0</v>
      </c>
      <c r="BI200" s="262">
        <f t="shared" ref="BI200:BI263" si="48">IF(N200="nulová",J200,0)</f>
        <v>0</v>
      </c>
      <c r="BJ200" s="167" t="s">
        <v>219</v>
      </c>
      <c r="BK200" s="262">
        <f t="shared" ref="BK200:BK263" si="49">ROUND(I200*H200,2)</f>
        <v>0</v>
      </c>
      <c r="BL200" s="167" t="s">
        <v>611</v>
      </c>
      <c r="BM200" s="261" t="s">
        <v>2060</v>
      </c>
    </row>
    <row r="201" spans="2:65" s="173" customFormat="1" ht="16.5" customHeight="1" x14ac:dyDescent="0.25">
      <c r="B201" s="247"/>
      <c r="C201" s="248" t="s">
        <v>119</v>
      </c>
      <c r="D201" s="248" t="s">
        <v>1876</v>
      </c>
      <c r="E201" s="249" t="s">
        <v>2061</v>
      </c>
      <c r="F201" s="250" t="s">
        <v>2062</v>
      </c>
      <c r="G201" s="251" t="s">
        <v>1695</v>
      </c>
      <c r="H201" s="252">
        <v>10</v>
      </c>
      <c r="I201" s="253"/>
      <c r="J201" s="254">
        <f t="shared" si="40"/>
        <v>0</v>
      </c>
      <c r="K201" s="255"/>
      <c r="L201" s="256"/>
      <c r="M201" s="257" t="s">
        <v>4</v>
      </c>
      <c r="N201" s="258" t="s">
        <v>1821</v>
      </c>
      <c r="P201" s="259">
        <f t="shared" si="41"/>
        <v>0</v>
      </c>
      <c r="Q201" s="259">
        <v>0</v>
      </c>
      <c r="R201" s="259">
        <f t="shared" si="42"/>
        <v>0</v>
      </c>
      <c r="S201" s="259">
        <v>0</v>
      </c>
      <c r="T201" s="260">
        <f t="shared" si="43"/>
        <v>0</v>
      </c>
      <c r="AR201" s="261" t="s">
        <v>1009</v>
      </c>
      <c r="AT201" s="261" t="s">
        <v>1876</v>
      </c>
      <c r="AU201" s="261" t="s">
        <v>227</v>
      </c>
      <c r="AY201" s="167" t="s">
        <v>1873</v>
      </c>
      <c r="BE201" s="262">
        <f t="shared" si="44"/>
        <v>0</v>
      </c>
      <c r="BF201" s="262">
        <f t="shared" si="45"/>
        <v>0</v>
      </c>
      <c r="BG201" s="262">
        <f t="shared" si="46"/>
        <v>0</v>
      </c>
      <c r="BH201" s="262">
        <f t="shared" si="47"/>
        <v>0</v>
      </c>
      <c r="BI201" s="262">
        <f t="shared" si="48"/>
        <v>0</v>
      </c>
      <c r="BJ201" s="167" t="s">
        <v>219</v>
      </c>
      <c r="BK201" s="262">
        <f t="shared" si="49"/>
        <v>0</v>
      </c>
      <c r="BL201" s="167" t="s">
        <v>127</v>
      </c>
      <c r="BM201" s="261" t="s">
        <v>2063</v>
      </c>
    </row>
    <row r="202" spans="2:65" s="173" customFormat="1" ht="16.5" customHeight="1" x14ac:dyDescent="0.25">
      <c r="B202" s="247"/>
      <c r="C202" s="263" t="s">
        <v>407</v>
      </c>
      <c r="D202" s="263" t="s">
        <v>1881</v>
      </c>
      <c r="E202" s="264" t="s">
        <v>2064</v>
      </c>
      <c r="F202" s="265" t="s">
        <v>2065</v>
      </c>
      <c r="G202" s="266" t="s">
        <v>1695</v>
      </c>
      <c r="H202" s="267">
        <v>2</v>
      </c>
      <c r="I202" s="268"/>
      <c r="J202" s="269">
        <f t="shared" si="40"/>
        <v>0</v>
      </c>
      <c r="K202" s="270"/>
      <c r="L202" s="174"/>
      <c r="M202" s="271" t="s">
        <v>4</v>
      </c>
      <c r="N202" s="272" t="s">
        <v>1821</v>
      </c>
      <c r="P202" s="259">
        <f t="shared" si="41"/>
        <v>0</v>
      </c>
      <c r="Q202" s="259">
        <v>0</v>
      </c>
      <c r="R202" s="259">
        <f t="shared" si="42"/>
        <v>0</v>
      </c>
      <c r="S202" s="259">
        <v>0</v>
      </c>
      <c r="T202" s="260">
        <f t="shared" si="43"/>
        <v>0</v>
      </c>
      <c r="AR202" s="261" t="s">
        <v>127</v>
      </c>
      <c r="AT202" s="261" t="s">
        <v>1881</v>
      </c>
      <c r="AU202" s="261" t="s">
        <v>227</v>
      </c>
      <c r="AY202" s="167" t="s">
        <v>1873</v>
      </c>
      <c r="BE202" s="262">
        <f t="shared" si="44"/>
        <v>0</v>
      </c>
      <c r="BF202" s="262">
        <f t="shared" si="45"/>
        <v>0</v>
      </c>
      <c r="BG202" s="262">
        <f t="shared" si="46"/>
        <v>0</v>
      </c>
      <c r="BH202" s="262">
        <f t="shared" si="47"/>
        <v>0</v>
      </c>
      <c r="BI202" s="262">
        <f t="shared" si="48"/>
        <v>0</v>
      </c>
      <c r="BJ202" s="167" t="s">
        <v>219</v>
      </c>
      <c r="BK202" s="262">
        <f t="shared" si="49"/>
        <v>0</v>
      </c>
      <c r="BL202" s="167" t="s">
        <v>127</v>
      </c>
      <c r="BM202" s="261" t="s">
        <v>2066</v>
      </c>
    </row>
    <row r="203" spans="2:65" s="173" customFormat="1" ht="16.5" customHeight="1" x14ac:dyDescent="0.25">
      <c r="B203" s="247"/>
      <c r="C203" s="248" t="s">
        <v>121</v>
      </c>
      <c r="D203" s="248" t="s">
        <v>1876</v>
      </c>
      <c r="E203" s="249" t="s">
        <v>2067</v>
      </c>
      <c r="F203" s="250" t="s">
        <v>2068</v>
      </c>
      <c r="G203" s="251" t="s">
        <v>329</v>
      </c>
      <c r="H203" s="252">
        <v>2</v>
      </c>
      <c r="I203" s="253"/>
      <c r="J203" s="254">
        <f t="shared" si="40"/>
        <v>0</v>
      </c>
      <c r="K203" s="255"/>
      <c r="L203" s="256"/>
      <c r="M203" s="257" t="s">
        <v>4</v>
      </c>
      <c r="N203" s="258" t="s">
        <v>1821</v>
      </c>
      <c r="P203" s="259">
        <f t="shared" si="41"/>
        <v>0</v>
      </c>
      <c r="Q203" s="259">
        <v>4.2999999999999999E-4</v>
      </c>
      <c r="R203" s="259">
        <f t="shared" si="42"/>
        <v>8.5999999999999998E-4</v>
      </c>
      <c r="S203" s="259">
        <v>0</v>
      </c>
      <c r="T203" s="260">
        <f t="shared" si="43"/>
        <v>0</v>
      </c>
      <c r="AR203" s="261" t="s">
        <v>611</v>
      </c>
      <c r="AT203" s="261" t="s">
        <v>1876</v>
      </c>
      <c r="AU203" s="261" t="s">
        <v>227</v>
      </c>
      <c r="AY203" s="167" t="s">
        <v>1873</v>
      </c>
      <c r="BE203" s="262">
        <f t="shared" si="44"/>
        <v>0</v>
      </c>
      <c r="BF203" s="262">
        <f t="shared" si="45"/>
        <v>0</v>
      </c>
      <c r="BG203" s="262">
        <f t="shared" si="46"/>
        <v>0</v>
      </c>
      <c r="BH203" s="262">
        <f t="shared" si="47"/>
        <v>0</v>
      </c>
      <c r="BI203" s="262">
        <f t="shared" si="48"/>
        <v>0</v>
      </c>
      <c r="BJ203" s="167" t="s">
        <v>219</v>
      </c>
      <c r="BK203" s="262">
        <f t="shared" si="49"/>
        <v>0</v>
      </c>
      <c r="BL203" s="167" t="s">
        <v>611</v>
      </c>
      <c r="BM203" s="261" t="s">
        <v>2069</v>
      </c>
    </row>
    <row r="204" spans="2:65" s="173" customFormat="1" ht="21.75" customHeight="1" x14ac:dyDescent="0.25">
      <c r="B204" s="247"/>
      <c r="C204" s="248" t="s">
        <v>123</v>
      </c>
      <c r="D204" s="248" t="s">
        <v>1876</v>
      </c>
      <c r="E204" s="249" t="s">
        <v>2070</v>
      </c>
      <c r="F204" s="250" t="s">
        <v>2071</v>
      </c>
      <c r="G204" s="251" t="s">
        <v>329</v>
      </c>
      <c r="H204" s="252">
        <v>2</v>
      </c>
      <c r="I204" s="253"/>
      <c r="J204" s="254">
        <f t="shared" si="40"/>
        <v>0</v>
      </c>
      <c r="K204" s="255"/>
      <c r="L204" s="256"/>
      <c r="M204" s="257" t="s">
        <v>4</v>
      </c>
      <c r="N204" s="258" t="s">
        <v>1821</v>
      </c>
      <c r="P204" s="259">
        <f t="shared" si="41"/>
        <v>0</v>
      </c>
      <c r="Q204" s="259">
        <v>4.2999999999999999E-4</v>
      </c>
      <c r="R204" s="259">
        <f t="shared" si="42"/>
        <v>8.5999999999999998E-4</v>
      </c>
      <c r="S204" s="259">
        <v>0</v>
      </c>
      <c r="T204" s="260">
        <f t="shared" si="43"/>
        <v>0</v>
      </c>
      <c r="AR204" s="261" t="s">
        <v>611</v>
      </c>
      <c r="AT204" s="261" t="s">
        <v>1876</v>
      </c>
      <c r="AU204" s="261" t="s">
        <v>227</v>
      </c>
      <c r="AY204" s="167" t="s">
        <v>1873</v>
      </c>
      <c r="BE204" s="262">
        <f t="shared" si="44"/>
        <v>0</v>
      </c>
      <c r="BF204" s="262">
        <f t="shared" si="45"/>
        <v>0</v>
      </c>
      <c r="BG204" s="262">
        <f t="shared" si="46"/>
        <v>0</v>
      </c>
      <c r="BH204" s="262">
        <f t="shared" si="47"/>
        <v>0</v>
      </c>
      <c r="BI204" s="262">
        <f t="shared" si="48"/>
        <v>0</v>
      </c>
      <c r="BJ204" s="167" t="s">
        <v>219</v>
      </c>
      <c r="BK204" s="262">
        <f t="shared" si="49"/>
        <v>0</v>
      </c>
      <c r="BL204" s="167" t="s">
        <v>611</v>
      </c>
      <c r="BM204" s="261" t="s">
        <v>2072</v>
      </c>
    </row>
    <row r="205" spans="2:65" s="173" customFormat="1" ht="21.75" customHeight="1" x14ac:dyDescent="0.25">
      <c r="B205" s="247"/>
      <c r="C205" s="263" t="s">
        <v>125</v>
      </c>
      <c r="D205" s="263" t="s">
        <v>1881</v>
      </c>
      <c r="E205" s="264" t="s">
        <v>2073</v>
      </c>
      <c r="F205" s="265" t="s">
        <v>2074</v>
      </c>
      <c r="G205" s="266" t="s">
        <v>333</v>
      </c>
      <c r="H205" s="267">
        <v>15</v>
      </c>
      <c r="I205" s="268"/>
      <c r="J205" s="269">
        <f t="shared" si="40"/>
        <v>0</v>
      </c>
      <c r="K205" s="270"/>
      <c r="L205" s="174"/>
      <c r="M205" s="271" t="s">
        <v>4</v>
      </c>
      <c r="N205" s="272" t="s">
        <v>1821</v>
      </c>
      <c r="P205" s="259">
        <f t="shared" si="41"/>
        <v>0</v>
      </c>
      <c r="Q205" s="259">
        <v>0</v>
      </c>
      <c r="R205" s="259">
        <f t="shared" si="42"/>
        <v>0</v>
      </c>
      <c r="S205" s="259">
        <v>0</v>
      </c>
      <c r="T205" s="260">
        <f t="shared" si="43"/>
        <v>0</v>
      </c>
      <c r="AR205" s="261" t="s">
        <v>127</v>
      </c>
      <c r="AT205" s="261" t="s">
        <v>1881</v>
      </c>
      <c r="AU205" s="261" t="s">
        <v>227</v>
      </c>
      <c r="AY205" s="167" t="s">
        <v>1873</v>
      </c>
      <c r="BE205" s="262">
        <f t="shared" si="44"/>
        <v>0</v>
      </c>
      <c r="BF205" s="262">
        <f t="shared" si="45"/>
        <v>0</v>
      </c>
      <c r="BG205" s="262">
        <f t="shared" si="46"/>
        <v>0</v>
      </c>
      <c r="BH205" s="262">
        <f t="shared" si="47"/>
        <v>0</v>
      </c>
      <c r="BI205" s="262">
        <f t="shared" si="48"/>
        <v>0</v>
      </c>
      <c r="BJ205" s="167" t="s">
        <v>219</v>
      </c>
      <c r="BK205" s="262">
        <f t="shared" si="49"/>
        <v>0</v>
      </c>
      <c r="BL205" s="167" t="s">
        <v>127</v>
      </c>
      <c r="BM205" s="261" t="s">
        <v>2075</v>
      </c>
    </row>
    <row r="206" spans="2:65" s="173" customFormat="1" ht="16.5" customHeight="1" x14ac:dyDescent="0.25">
      <c r="B206" s="247"/>
      <c r="C206" s="248" t="s">
        <v>127</v>
      </c>
      <c r="D206" s="248" t="s">
        <v>1876</v>
      </c>
      <c r="E206" s="249" t="s">
        <v>2076</v>
      </c>
      <c r="F206" s="250" t="s">
        <v>2077</v>
      </c>
      <c r="G206" s="251" t="s">
        <v>329</v>
      </c>
      <c r="H206" s="252">
        <v>5</v>
      </c>
      <c r="I206" s="253"/>
      <c r="J206" s="254">
        <f t="shared" si="40"/>
        <v>0</v>
      </c>
      <c r="K206" s="255"/>
      <c r="L206" s="256"/>
      <c r="M206" s="257" t="s">
        <v>4</v>
      </c>
      <c r="N206" s="258" t="s">
        <v>1821</v>
      </c>
      <c r="P206" s="259">
        <f t="shared" si="41"/>
        <v>0</v>
      </c>
      <c r="Q206" s="259">
        <v>2.1000000000000001E-4</v>
      </c>
      <c r="R206" s="259">
        <f t="shared" si="42"/>
        <v>1.0500000000000002E-3</v>
      </c>
      <c r="S206" s="259">
        <v>0</v>
      </c>
      <c r="T206" s="260">
        <f t="shared" si="43"/>
        <v>0</v>
      </c>
      <c r="AR206" s="261" t="s">
        <v>611</v>
      </c>
      <c r="AT206" s="261" t="s">
        <v>1876</v>
      </c>
      <c r="AU206" s="261" t="s">
        <v>227</v>
      </c>
      <c r="AY206" s="167" t="s">
        <v>1873</v>
      </c>
      <c r="BE206" s="262">
        <f t="shared" si="44"/>
        <v>0</v>
      </c>
      <c r="BF206" s="262">
        <f t="shared" si="45"/>
        <v>0</v>
      </c>
      <c r="BG206" s="262">
        <f t="shared" si="46"/>
        <v>0</v>
      </c>
      <c r="BH206" s="262">
        <f t="shared" si="47"/>
        <v>0</v>
      </c>
      <c r="BI206" s="262">
        <f t="shared" si="48"/>
        <v>0</v>
      </c>
      <c r="BJ206" s="167" t="s">
        <v>219</v>
      </c>
      <c r="BK206" s="262">
        <f t="shared" si="49"/>
        <v>0</v>
      </c>
      <c r="BL206" s="167" t="s">
        <v>611</v>
      </c>
      <c r="BM206" s="261" t="s">
        <v>2078</v>
      </c>
    </row>
    <row r="207" spans="2:65" s="173" customFormat="1" ht="24.2" customHeight="1" x14ac:dyDescent="0.25">
      <c r="B207" s="247"/>
      <c r="C207" s="263" t="s">
        <v>420</v>
      </c>
      <c r="D207" s="263" t="s">
        <v>1881</v>
      </c>
      <c r="E207" s="264" t="s">
        <v>2079</v>
      </c>
      <c r="F207" s="265" t="s">
        <v>2080</v>
      </c>
      <c r="G207" s="266" t="s">
        <v>329</v>
      </c>
      <c r="H207" s="267">
        <v>5</v>
      </c>
      <c r="I207" s="268"/>
      <c r="J207" s="269">
        <f t="shared" si="40"/>
        <v>0</v>
      </c>
      <c r="K207" s="270"/>
      <c r="L207" s="174"/>
      <c r="M207" s="271" t="s">
        <v>4</v>
      </c>
      <c r="N207" s="272" t="s">
        <v>1821</v>
      </c>
      <c r="P207" s="259">
        <f t="shared" si="41"/>
        <v>0</v>
      </c>
      <c r="Q207" s="259">
        <v>0</v>
      </c>
      <c r="R207" s="259">
        <f t="shared" si="42"/>
        <v>0</v>
      </c>
      <c r="S207" s="259">
        <v>0</v>
      </c>
      <c r="T207" s="260">
        <f t="shared" si="43"/>
        <v>0</v>
      </c>
      <c r="AR207" s="261" t="s">
        <v>127</v>
      </c>
      <c r="AT207" s="261" t="s">
        <v>1881</v>
      </c>
      <c r="AU207" s="261" t="s">
        <v>227</v>
      </c>
      <c r="AY207" s="167" t="s">
        <v>1873</v>
      </c>
      <c r="BE207" s="262">
        <f t="shared" si="44"/>
        <v>0</v>
      </c>
      <c r="BF207" s="262">
        <f t="shared" si="45"/>
        <v>0</v>
      </c>
      <c r="BG207" s="262">
        <f t="shared" si="46"/>
        <v>0</v>
      </c>
      <c r="BH207" s="262">
        <f t="shared" si="47"/>
        <v>0</v>
      </c>
      <c r="BI207" s="262">
        <f t="shared" si="48"/>
        <v>0</v>
      </c>
      <c r="BJ207" s="167" t="s">
        <v>219</v>
      </c>
      <c r="BK207" s="262">
        <f t="shared" si="49"/>
        <v>0</v>
      </c>
      <c r="BL207" s="167" t="s">
        <v>127</v>
      </c>
      <c r="BM207" s="261" t="s">
        <v>2081</v>
      </c>
    </row>
    <row r="208" spans="2:65" s="173" customFormat="1" ht="16.5" customHeight="1" x14ac:dyDescent="0.25">
      <c r="B208" s="247"/>
      <c r="C208" s="248" t="s">
        <v>423</v>
      </c>
      <c r="D208" s="248" t="s">
        <v>1876</v>
      </c>
      <c r="E208" s="249" t="s">
        <v>2082</v>
      </c>
      <c r="F208" s="250" t="s">
        <v>2083</v>
      </c>
      <c r="G208" s="251" t="s">
        <v>1901</v>
      </c>
      <c r="H208" s="252">
        <v>5</v>
      </c>
      <c r="I208" s="253"/>
      <c r="J208" s="254">
        <f t="shared" si="40"/>
        <v>0</v>
      </c>
      <c r="K208" s="255"/>
      <c r="L208" s="256"/>
      <c r="M208" s="257" t="s">
        <v>4</v>
      </c>
      <c r="N208" s="258" t="s">
        <v>1821</v>
      </c>
      <c r="P208" s="259">
        <f t="shared" si="41"/>
        <v>0</v>
      </c>
      <c r="Q208" s="259">
        <v>0</v>
      </c>
      <c r="R208" s="259">
        <f t="shared" si="42"/>
        <v>0</v>
      </c>
      <c r="S208" s="259">
        <v>0</v>
      </c>
      <c r="T208" s="260">
        <f t="shared" si="43"/>
        <v>0</v>
      </c>
      <c r="AR208" s="261" t="s">
        <v>1009</v>
      </c>
      <c r="AT208" s="261" t="s">
        <v>1876</v>
      </c>
      <c r="AU208" s="261" t="s">
        <v>227</v>
      </c>
      <c r="AY208" s="167" t="s">
        <v>1873</v>
      </c>
      <c r="BE208" s="262">
        <f t="shared" si="44"/>
        <v>0</v>
      </c>
      <c r="BF208" s="262">
        <f t="shared" si="45"/>
        <v>0</v>
      </c>
      <c r="BG208" s="262">
        <f t="shared" si="46"/>
        <v>0</v>
      </c>
      <c r="BH208" s="262">
        <f t="shared" si="47"/>
        <v>0</v>
      </c>
      <c r="BI208" s="262">
        <f t="shared" si="48"/>
        <v>0</v>
      </c>
      <c r="BJ208" s="167" t="s">
        <v>219</v>
      </c>
      <c r="BK208" s="262">
        <f t="shared" si="49"/>
        <v>0</v>
      </c>
      <c r="BL208" s="167" t="s">
        <v>127</v>
      </c>
      <c r="BM208" s="261" t="s">
        <v>2084</v>
      </c>
    </row>
    <row r="209" spans="2:65" s="173" customFormat="1" ht="16.5" customHeight="1" x14ac:dyDescent="0.25">
      <c r="B209" s="247"/>
      <c r="C209" s="263" t="s">
        <v>425</v>
      </c>
      <c r="D209" s="263" t="s">
        <v>1881</v>
      </c>
      <c r="E209" s="264" t="s">
        <v>2085</v>
      </c>
      <c r="F209" s="265" t="s">
        <v>2086</v>
      </c>
      <c r="G209" s="266" t="s">
        <v>333</v>
      </c>
      <c r="H209" s="267">
        <v>30</v>
      </c>
      <c r="I209" s="268"/>
      <c r="J209" s="269">
        <f t="shared" si="40"/>
        <v>0</v>
      </c>
      <c r="K209" s="270"/>
      <c r="L209" s="174"/>
      <c r="M209" s="271" t="s">
        <v>4</v>
      </c>
      <c r="N209" s="272" t="s">
        <v>1821</v>
      </c>
      <c r="P209" s="259">
        <f t="shared" si="41"/>
        <v>0</v>
      </c>
      <c r="Q209" s="259">
        <v>0</v>
      </c>
      <c r="R209" s="259">
        <f t="shared" si="42"/>
        <v>0</v>
      </c>
      <c r="S209" s="259">
        <v>0</v>
      </c>
      <c r="T209" s="260">
        <f t="shared" si="43"/>
        <v>0</v>
      </c>
      <c r="AR209" s="261" t="s">
        <v>127</v>
      </c>
      <c r="AT209" s="261" t="s">
        <v>1881</v>
      </c>
      <c r="AU209" s="261" t="s">
        <v>227</v>
      </c>
      <c r="AY209" s="167" t="s">
        <v>1873</v>
      </c>
      <c r="BE209" s="262">
        <f t="shared" si="44"/>
        <v>0</v>
      </c>
      <c r="BF209" s="262">
        <f t="shared" si="45"/>
        <v>0</v>
      </c>
      <c r="BG209" s="262">
        <f t="shared" si="46"/>
        <v>0</v>
      </c>
      <c r="BH209" s="262">
        <f t="shared" si="47"/>
        <v>0</v>
      </c>
      <c r="BI209" s="262">
        <f t="shared" si="48"/>
        <v>0</v>
      </c>
      <c r="BJ209" s="167" t="s">
        <v>219</v>
      </c>
      <c r="BK209" s="262">
        <f t="shared" si="49"/>
        <v>0</v>
      </c>
      <c r="BL209" s="167" t="s">
        <v>127</v>
      </c>
      <c r="BM209" s="261" t="s">
        <v>2087</v>
      </c>
    </row>
    <row r="210" spans="2:65" s="173" customFormat="1" ht="16.5" customHeight="1" x14ac:dyDescent="0.25">
      <c r="B210" s="247"/>
      <c r="C210" s="248" t="s">
        <v>429</v>
      </c>
      <c r="D210" s="248" t="s">
        <v>1876</v>
      </c>
      <c r="E210" s="249" t="s">
        <v>2088</v>
      </c>
      <c r="F210" s="250" t="s">
        <v>2089</v>
      </c>
      <c r="G210" s="251" t="s">
        <v>1876</v>
      </c>
      <c r="H210" s="252">
        <v>30</v>
      </c>
      <c r="I210" s="253"/>
      <c r="J210" s="254">
        <f t="shared" si="40"/>
        <v>0</v>
      </c>
      <c r="K210" s="255"/>
      <c r="L210" s="256"/>
      <c r="M210" s="257" t="s">
        <v>4</v>
      </c>
      <c r="N210" s="258" t="s">
        <v>1821</v>
      </c>
      <c r="P210" s="259">
        <f t="shared" si="41"/>
        <v>0</v>
      </c>
      <c r="Q210" s="259">
        <v>0</v>
      </c>
      <c r="R210" s="259">
        <f t="shared" si="42"/>
        <v>0</v>
      </c>
      <c r="S210" s="259">
        <v>0</v>
      </c>
      <c r="T210" s="260">
        <f t="shared" si="43"/>
        <v>0</v>
      </c>
      <c r="AR210" s="261" t="s">
        <v>1009</v>
      </c>
      <c r="AT210" s="261" t="s">
        <v>1876</v>
      </c>
      <c r="AU210" s="261" t="s">
        <v>227</v>
      </c>
      <c r="AY210" s="167" t="s">
        <v>1873</v>
      </c>
      <c r="BE210" s="262">
        <f t="shared" si="44"/>
        <v>0</v>
      </c>
      <c r="BF210" s="262">
        <f t="shared" si="45"/>
        <v>0</v>
      </c>
      <c r="BG210" s="262">
        <f t="shared" si="46"/>
        <v>0</v>
      </c>
      <c r="BH210" s="262">
        <f t="shared" si="47"/>
        <v>0</v>
      </c>
      <c r="BI210" s="262">
        <f t="shared" si="48"/>
        <v>0</v>
      </c>
      <c r="BJ210" s="167" t="s">
        <v>219</v>
      </c>
      <c r="BK210" s="262">
        <f t="shared" si="49"/>
        <v>0</v>
      </c>
      <c r="BL210" s="167" t="s">
        <v>127</v>
      </c>
      <c r="BM210" s="261" t="s">
        <v>2090</v>
      </c>
    </row>
    <row r="211" spans="2:65" s="173" customFormat="1" ht="16.5" customHeight="1" x14ac:dyDescent="0.25">
      <c r="B211" s="247"/>
      <c r="C211" s="263" t="s">
        <v>432</v>
      </c>
      <c r="D211" s="263" t="s">
        <v>1881</v>
      </c>
      <c r="E211" s="264" t="s">
        <v>2091</v>
      </c>
      <c r="F211" s="265" t="s">
        <v>2092</v>
      </c>
      <c r="G211" s="266" t="s">
        <v>1695</v>
      </c>
      <c r="H211" s="267">
        <v>1</v>
      </c>
      <c r="I211" s="268"/>
      <c r="J211" s="269">
        <f t="shared" si="40"/>
        <v>0</v>
      </c>
      <c r="K211" s="270"/>
      <c r="L211" s="174"/>
      <c r="M211" s="271" t="s">
        <v>4</v>
      </c>
      <c r="N211" s="272" t="s">
        <v>1821</v>
      </c>
      <c r="P211" s="259">
        <f t="shared" si="41"/>
        <v>0</v>
      </c>
      <c r="Q211" s="259">
        <v>0</v>
      </c>
      <c r="R211" s="259">
        <f t="shared" si="42"/>
        <v>0</v>
      </c>
      <c r="S211" s="259">
        <v>0</v>
      </c>
      <c r="T211" s="260">
        <f t="shared" si="43"/>
        <v>0</v>
      </c>
      <c r="AR211" s="261" t="s">
        <v>127</v>
      </c>
      <c r="AT211" s="261" t="s">
        <v>1881</v>
      </c>
      <c r="AU211" s="261" t="s">
        <v>227</v>
      </c>
      <c r="AY211" s="167" t="s">
        <v>1873</v>
      </c>
      <c r="BE211" s="262">
        <f t="shared" si="44"/>
        <v>0</v>
      </c>
      <c r="BF211" s="262">
        <f t="shared" si="45"/>
        <v>0</v>
      </c>
      <c r="BG211" s="262">
        <f t="shared" si="46"/>
        <v>0</v>
      </c>
      <c r="BH211" s="262">
        <f t="shared" si="47"/>
        <v>0</v>
      </c>
      <c r="BI211" s="262">
        <f t="shared" si="48"/>
        <v>0</v>
      </c>
      <c r="BJ211" s="167" t="s">
        <v>219</v>
      </c>
      <c r="BK211" s="262">
        <f t="shared" si="49"/>
        <v>0</v>
      </c>
      <c r="BL211" s="167" t="s">
        <v>127</v>
      </c>
      <c r="BM211" s="261" t="s">
        <v>2093</v>
      </c>
    </row>
    <row r="212" spans="2:65" s="173" customFormat="1" ht="16.5" customHeight="1" x14ac:dyDescent="0.25">
      <c r="B212" s="247"/>
      <c r="C212" s="263" t="s">
        <v>435</v>
      </c>
      <c r="D212" s="263" t="s">
        <v>1881</v>
      </c>
      <c r="E212" s="264" t="s">
        <v>2094</v>
      </c>
      <c r="F212" s="265" t="s">
        <v>2095</v>
      </c>
      <c r="G212" s="266" t="s">
        <v>1695</v>
      </c>
      <c r="H212" s="267">
        <v>2</v>
      </c>
      <c r="I212" s="268"/>
      <c r="J212" s="269">
        <f t="shared" si="40"/>
        <v>0</v>
      </c>
      <c r="K212" s="270"/>
      <c r="L212" s="174"/>
      <c r="M212" s="271" t="s">
        <v>4</v>
      </c>
      <c r="N212" s="272" t="s">
        <v>1821</v>
      </c>
      <c r="P212" s="259">
        <f t="shared" si="41"/>
        <v>0</v>
      </c>
      <c r="Q212" s="259">
        <v>0</v>
      </c>
      <c r="R212" s="259">
        <f t="shared" si="42"/>
        <v>0</v>
      </c>
      <c r="S212" s="259">
        <v>0</v>
      </c>
      <c r="T212" s="260">
        <f t="shared" si="43"/>
        <v>0</v>
      </c>
      <c r="AR212" s="261" t="s">
        <v>127</v>
      </c>
      <c r="AT212" s="261" t="s">
        <v>1881</v>
      </c>
      <c r="AU212" s="261" t="s">
        <v>227</v>
      </c>
      <c r="AY212" s="167" t="s">
        <v>1873</v>
      </c>
      <c r="BE212" s="262">
        <f t="shared" si="44"/>
        <v>0</v>
      </c>
      <c r="BF212" s="262">
        <f t="shared" si="45"/>
        <v>0</v>
      </c>
      <c r="BG212" s="262">
        <f t="shared" si="46"/>
        <v>0</v>
      </c>
      <c r="BH212" s="262">
        <f t="shared" si="47"/>
        <v>0</v>
      </c>
      <c r="BI212" s="262">
        <f t="shared" si="48"/>
        <v>0</v>
      </c>
      <c r="BJ212" s="167" t="s">
        <v>219</v>
      </c>
      <c r="BK212" s="262">
        <f t="shared" si="49"/>
        <v>0</v>
      </c>
      <c r="BL212" s="167" t="s">
        <v>127</v>
      </c>
      <c r="BM212" s="261" t="s">
        <v>2096</v>
      </c>
    </row>
    <row r="213" spans="2:65" s="173" customFormat="1" ht="16.5" customHeight="1" x14ac:dyDescent="0.25">
      <c r="B213" s="247"/>
      <c r="C213" s="263" t="s">
        <v>438</v>
      </c>
      <c r="D213" s="263" t="s">
        <v>1881</v>
      </c>
      <c r="E213" s="264" t="s">
        <v>2097</v>
      </c>
      <c r="F213" s="265" t="s">
        <v>2098</v>
      </c>
      <c r="G213" s="266" t="s">
        <v>1695</v>
      </c>
      <c r="H213" s="267">
        <v>3</v>
      </c>
      <c r="I213" s="268"/>
      <c r="J213" s="269">
        <f t="shared" si="40"/>
        <v>0</v>
      </c>
      <c r="K213" s="270"/>
      <c r="L213" s="174"/>
      <c r="M213" s="271" t="s">
        <v>4</v>
      </c>
      <c r="N213" s="272" t="s">
        <v>1821</v>
      </c>
      <c r="P213" s="259">
        <f t="shared" si="41"/>
        <v>0</v>
      </c>
      <c r="Q213" s="259">
        <v>0</v>
      </c>
      <c r="R213" s="259">
        <f t="shared" si="42"/>
        <v>0</v>
      </c>
      <c r="S213" s="259">
        <v>0</v>
      </c>
      <c r="T213" s="260">
        <f t="shared" si="43"/>
        <v>0</v>
      </c>
      <c r="AR213" s="261" t="s">
        <v>127</v>
      </c>
      <c r="AT213" s="261" t="s">
        <v>1881</v>
      </c>
      <c r="AU213" s="261" t="s">
        <v>227</v>
      </c>
      <c r="AY213" s="167" t="s">
        <v>1873</v>
      </c>
      <c r="BE213" s="262">
        <f t="shared" si="44"/>
        <v>0</v>
      </c>
      <c r="BF213" s="262">
        <f t="shared" si="45"/>
        <v>0</v>
      </c>
      <c r="BG213" s="262">
        <f t="shared" si="46"/>
        <v>0</v>
      </c>
      <c r="BH213" s="262">
        <f t="shared" si="47"/>
        <v>0</v>
      </c>
      <c r="BI213" s="262">
        <f t="shared" si="48"/>
        <v>0</v>
      </c>
      <c r="BJ213" s="167" t="s">
        <v>219</v>
      </c>
      <c r="BK213" s="262">
        <f t="shared" si="49"/>
        <v>0</v>
      </c>
      <c r="BL213" s="167" t="s">
        <v>127</v>
      </c>
      <c r="BM213" s="261" t="s">
        <v>2099</v>
      </c>
    </row>
    <row r="214" spans="2:65" s="173" customFormat="1" ht="16.5" customHeight="1" x14ac:dyDescent="0.25">
      <c r="B214" s="247"/>
      <c r="C214" s="263" t="s">
        <v>441</v>
      </c>
      <c r="D214" s="263" t="s">
        <v>1881</v>
      </c>
      <c r="E214" s="264" t="s">
        <v>2100</v>
      </c>
      <c r="F214" s="265" t="s">
        <v>2101</v>
      </c>
      <c r="G214" s="266" t="s">
        <v>803</v>
      </c>
      <c r="H214" s="267">
        <v>1</v>
      </c>
      <c r="I214" s="268"/>
      <c r="J214" s="269">
        <f t="shared" si="40"/>
        <v>0</v>
      </c>
      <c r="K214" s="270"/>
      <c r="L214" s="174"/>
      <c r="M214" s="271" t="s">
        <v>4</v>
      </c>
      <c r="N214" s="272" t="s">
        <v>1821</v>
      </c>
      <c r="P214" s="259">
        <f t="shared" si="41"/>
        <v>0</v>
      </c>
      <c r="Q214" s="259">
        <v>0</v>
      </c>
      <c r="R214" s="259">
        <f t="shared" si="42"/>
        <v>0</v>
      </c>
      <c r="S214" s="259">
        <v>0</v>
      </c>
      <c r="T214" s="260">
        <f t="shared" si="43"/>
        <v>0</v>
      </c>
      <c r="AR214" s="261" t="s">
        <v>127</v>
      </c>
      <c r="AT214" s="261" t="s">
        <v>1881</v>
      </c>
      <c r="AU214" s="261" t="s">
        <v>227</v>
      </c>
      <c r="AY214" s="167" t="s">
        <v>1873</v>
      </c>
      <c r="BE214" s="262">
        <f t="shared" si="44"/>
        <v>0</v>
      </c>
      <c r="BF214" s="262">
        <f t="shared" si="45"/>
        <v>0</v>
      </c>
      <c r="BG214" s="262">
        <f t="shared" si="46"/>
        <v>0</v>
      </c>
      <c r="BH214" s="262">
        <f t="shared" si="47"/>
        <v>0</v>
      </c>
      <c r="BI214" s="262">
        <f t="shared" si="48"/>
        <v>0</v>
      </c>
      <c r="BJ214" s="167" t="s">
        <v>219</v>
      </c>
      <c r="BK214" s="262">
        <f t="shared" si="49"/>
        <v>0</v>
      </c>
      <c r="BL214" s="167" t="s">
        <v>127</v>
      </c>
      <c r="BM214" s="261" t="s">
        <v>2102</v>
      </c>
    </row>
    <row r="215" spans="2:65" s="173" customFormat="1" ht="16.5" customHeight="1" x14ac:dyDescent="0.25">
      <c r="B215" s="247"/>
      <c r="C215" s="263" t="s">
        <v>141</v>
      </c>
      <c r="D215" s="263" t="s">
        <v>1881</v>
      </c>
      <c r="E215" s="264" t="s">
        <v>2103</v>
      </c>
      <c r="F215" s="265" t="s">
        <v>2104</v>
      </c>
      <c r="G215" s="266" t="s">
        <v>1695</v>
      </c>
      <c r="H215" s="267">
        <v>3</v>
      </c>
      <c r="I215" s="268"/>
      <c r="J215" s="269">
        <f t="shared" si="40"/>
        <v>0</v>
      </c>
      <c r="K215" s="270"/>
      <c r="L215" s="174"/>
      <c r="M215" s="271" t="s">
        <v>4</v>
      </c>
      <c r="N215" s="272" t="s">
        <v>1821</v>
      </c>
      <c r="P215" s="259">
        <f t="shared" si="41"/>
        <v>0</v>
      </c>
      <c r="Q215" s="259">
        <v>0</v>
      </c>
      <c r="R215" s="259">
        <f t="shared" si="42"/>
        <v>0</v>
      </c>
      <c r="S215" s="259">
        <v>0</v>
      </c>
      <c r="T215" s="260">
        <f t="shared" si="43"/>
        <v>0</v>
      </c>
      <c r="AR215" s="261" t="s">
        <v>127</v>
      </c>
      <c r="AT215" s="261" t="s">
        <v>1881</v>
      </c>
      <c r="AU215" s="261" t="s">
        <v>227</v>
      </c>
      <c r="AY215" s="167" t="s">
        <v>1873</v>
      </c>
      <c r="BE215" s="262">
        <f t="shared" si="44"/>
        <v>0</v>
      </c>
      <c r="BF215" s="262">
        <f t="shared" si="45"/>
        <v>0</v>
      </c>
      <c r="BG215" s="262">
        <f t="shared" si="46"/>
        <v>0</v>
      </c>
      <c r="BH215" s="262">
        <f t="shared" si="47"/>
        <v>0</v>
      </c>
      <c r="BI215" s="262">
        <f t="shared" si="48"/>
        <v>0</v>
      </c>
      <c r="BJ215" s="167" t="s">
        <v>219</v>
      </c>
      <c r="BK215" s="262">
        <f t="shared" si="49"/>
        <v>0</v>
      </c>
      <c r="BL215" s="167" t="s">
        <v>127</v>
      </c>
      <c r="BM215" s="261" t="s">
        <v>2105</v>
      </c>
    </row>
    <row r="216" spans="2:65" s="173" customFormat="1" ht="24.2" customHeight="1" x14ac:dyDescent="0.25">
      <c r="B216" s="247"/>
      <c r="C216" s="263" t="s">
        <v>446</v>
      </c>
      <c r="D216" s="263" t="s">
        <v>1881</v>
      </c>
      <c r="E216" s="264" t="s">
        <v>2106</v>
      </c>
      <c r="F216" s="265" t="s">
        <v>2107</v>
      </c>
      <c r="G216" s="266" t="s">
        <v>329</v>
      </c>
      <c r="H216" s="267">
        <v>2</v>
      </c>
      <c r="I216" s="268"/>
      <c r="J216" s="269">
        <f t="shared" si="40"/>
        <v>0</v>
      </c>
      <c r="K216" s="270"/>
      <c r="L216" s="174"/>
      <c r="M216" s="271" t="s">
        <v>4</v>
      </c>
      <c r="N216" s="272" t="s">
        <v>1821</v>
      </c>
      <c r="P216" s="259">
        <f t="shared" si="41"/>
        <v>0</v>
      </c>
      <c r="Q216" s="259">
        <v>0</v>
      </c>
      <c r="R216" s="259">
        <f t="shared" si="42"/>
        <v>0</v>
      </c>
      <c r="S216" s="259">
        <v>0</v>
      </c>
      <c r="T216" s="260">
        <f t="shared" si="43"/>
        <v>0</v>
      </c>
      <c r="AR216" s="261" t="s">
        <v>127</v>
      </c>
      <c r="AT216" s="261" t="s">
        <v>1881</v>
      </c>
      <c r="AU216" s="261" t="s">
        <v>227</v>
      </c>
      <c r="AY216" s="167" t="s">
        <v>1873</v>
      </c>
      <c r="BE216" s="262">
        <f t="shared" si="44"/>
        <v>0</v>
      </c>
      <c r="BF216" s="262">
        <f t="shared" si="45"/>
        <v>0</v>
      </c>
      <c r="BG216" s="262">
        <f t="shared" si="46"/>
        <v>0</v>
      </c>
      <c r="BH216" s="262">
        <f t="shared" si="47"/>
        <v>0</v>
      </c>
      <c r="BI216" s="262">
        <f t="shared" si="48"/>
        <v>0</v>
      </c>
      <c r="BJ216" s="167" t="s">
        <v>219</v>
      </c>
      <c r="BK216" s="262">
        <f t="shared" si="49"/>
        <v>0</v>
      </c>
      <c r="BL216" s="167" t="s">
        <v>127</v>
      </c>
      <c r="BM216" s="261" t="s">
        <v>2108</v>
      </c>
    </row>
    <row r="217" spans="2:65" s="173" customFormat="1" ht="16.5" customHeight="1" x14ac:dyDescent="0.25">
      <c r="B217" s="247"/>
      <c r="C217" s="248" t="s">
        <v>449</v>
      </c>
      <c r="D217" s="248" t="s">
        <v>1876</v>
      </c>
      <c r="E217" s="249" t="s">
        <v>2109</v>
      </c>
      <c r="F217" s="250" t="s">
        <v>2110</v>
      </c>
      <c r="G217" s="251" t="s">
        <v>1901</v>
      </c>
      <c r="H217" s="252">
        <v>2</v>
      </c>
      <c r="I217" s="253"/>
      <c r="J217" s="254">
        <f t="shared" si="40"/>
        <v>0</v>
      </c>
      <c r="K217" s="255"/>
      <c r="L217" s="256"/>
      <c r="M217" s="257" t="s">
        <v>4</v>
      </c>
      <c r="N217" s="258" t="s">
        <v>1821</v>
      </c>
      <c r="P217" s="259">
        <f t="shared" si="41"/>
        <v>0</v>
      </c>
      <c r="Q217" s="259">
        <v>0</v>
      </c>
      <c r="R217" s="259">
        <f t="shared" si="42"/>
        <v>0</v>
      </c>
      <c r="S217" s="259">
        <v>0</v>
      </c>
      <c r="T217" s="260">
        <f t="shared" si="43"/>
        <v>0</v>
      </c>
      <c r="AR217" s="261" t="s">
        <v>1009</v>
      </c>
      <c r="AT217" s="261" t="s">
        <v>1876</v>
      </c>
      <c r="AU217" s="261" t="s">
        <v>227</v>
      </c>
      <c r="AY217" s="167" t="s">
        <v>1873</v>
      </c>
      <c r="BE217" s="262">
        <f t="shared" si="44"/>
        <v>0</v>
      </c>
      <c r="BF217" s="262">
        <f t="shared" si="45"/>
        <v>0</v>
      </c>
      <c r="BG217" s="262">
        <f t="shared" si="46"/>
        <v>0</v>
      </c>
      <c r="BH217" s="262">
        <f t="shared" si="47"/>
        <v>0</v>
      </c>
      <c r="BI217" s="262">
        <f t="shared" si="48"/>
        <v>0</v>
      </c>
      <c r="BJ217" s="167" t="s">
        <v>219</v>
      </c>
      <c r="BK217" s="262">
        <f t="shared" si="49"/>
        <v>0</v>
      </c>
      <c r="BL217" s="167" t="s">
        <v>127</v>
      </c>
      <c r="BM217" s="261" t="s">
        <v>2111</v>
      </c>
    </row>
    <row r="218" spans="2:65" s="173" customFormat="1" ht="16.5" customHeight="1" x14ac:dyDescent="0.25">
      <c r="B218" s="247"/>
      <c r="C218" s="263" t="s">
        <v>454</v>
      </c>
      <c r="D218" s="263" t="s">
        <v>1881</v>
      </c>
      <c r="E218" s="264" t="s">
        <v>2112</v>
      </c>
      <c r="F218" s="265" t="s">
        <v>2113</v>
      </c>
      <c r="G218" s="266" t="s">
        <v>329</v>
      </c>
      <c r="H218" s="267">
        <v>6</v>
      </c>
      <c r="I218" s="268"/>
      <c r="J218" s="269">
        <f t="shared" si="40"/>
        <v>0</v>
      </c>
      <c r="K218" s="270"/>
      <c r="L218" s="174"/>
      <c r="M218" s="271" t="s">
        <v>4</v>
      </c>
      <c r="N218" s="272" t="s">
        <v>1821</v>
      </c>
      <c r="P218" s="259">
        <f t="shared" si="41"/>
        <v>0</v>
      </c>
      <c r="Q218" s="259">
        <v>0</v>
      </c>
      <c r="R218" s="259">
        <f t="shared" si="42"/>
        <v>0</v>
      </c>
      <c r="S218" s="259">
        <v>0</v>
      </c>
      <c r="T218" s="260">
        <f t="shared" si="43"/>
        <v>0</v>
      </c>
      <c r="AR218" s="261" t="s">
        <v>127</v>
      </c>
      <c r="AT218" s="261" t="s">
        <v>1881</v>
      </c>
      <c r="AU218" s="261" t="s">
        <v>227</v>
      </c>
      <c r="AY218" s="167" t="s">
        <v>1873</v>
      </c>
      <c r="BE218" s="262">
        <f t="shared" si="44"/>
        <v>0</v>
      </c>
      <c r="BF218" s="262">
        <f t="shared" si="45"/>
        <v>0</v>
      </c>
      <c r="BG218" s="262">
        <f t="shared" si="46"/>
        <v>0</v>
      </c>
      <c r="BH218" s="262">
        <f t="shared" si="47"/>
        <v>0</v>
      </c>
      <c r="BI218" s="262">
        <f t="shared" si="48"/>
        <v>0</v>
      </c>
      <c r="BJ218" s="167" t="s">
        <v>219</v>
      </c>
      <c r="BK218" s="262">
        <f t="shared" si="49"/>
        <v>0</v>
      </c>
      <c r="BL218" s="167" t="s">
        <v>127</v>
      </c>
      <c r="BM218" s="261" t="s">
        <v>2114</v>
      </c>
    </row>
    <row r="219" spans="2:65" s="173" customFormat="1" ht="21.75" customHeight="1" x14ac:dyDescent="0.25">
      <c r="B219" s="247"/>
      <c r="C219" s="248" t="s">
        <v>457</v>
      </c>
      <c r="D219" s="248" t="s">
        <v>1876</v>
      </c>
      <c r="E219" s="249" t="s">
        <v>2115</v>
      </c>
      <c r="F219" s="250" t="s">
        <v>2116</v>
      </c>
      <c r="G219" s="251" t="s">
        <v>1901</v>
      </c>
      <c r="H219" s="252">
        <v>6</v>
      </c>
      <c r="I219" s="253"/>
      <c r="J219" s="254">
        <f t="shared" si="40"/>
        <v>0</v>
      </c>
      <c r="K219" s="255"/>
      <c r="L219" s="256"/>
      <c r="M219" s="257" t="s">
        <v>4</v>
      </c>
      <c r="N219" s="258" t="s">
        <v>1821</v>
      </c>
      <c r="P219" s="259">
        <f t="shared" si="41"/>
        <v>0</v>
      </c>
      <c r="Q219" s="259">
        <v>0</v>
      </c>
      <c r="R219" s="259">
        <f t="shared" si="42"/>
        <v>0</v>
      </c>
      <c r="S219" s="259">
        <v>0</v>
      </c>
      <c r="T219" s="260">
        <f t="shared" si="43"/>
        <v>0</v>
      </c>
      <c r="AR219" s="261" t="s">
        <v>1009</v>
      </c>
      <c r="AT219" s="261" t="s">
        <v>1876</v>
      </c>
      <c r="AU219" s="261" t="s">
        <v>227</v>
      </c>
      <c r="AY219" s="167" t="s">
        <v>1873</v>
      </c>
      <c r="BE219" s="262">
        <f t="shared" si="44"/>
        <v>0</v>
      </c>
      <c r="BF219" s="262">
        <f t="shared" si="45"/>
        <v>0</v>
      </c>
      <c r="BG219" s="262">
        <f t="shared" si="46"/>
        <v>0</v>
      </c>
      <c r="BH219" s="262">
        <f t="shared" si="47"/>
        <v>0</v>
      </c>
      <c r="BI219" s="262">
        <f t="shared" si="48"/>
        <v>0</v>
      </c>
      <c r="BJ219" s="167" t="s">
        <v>219</v>
      </c>
      <c r="BK219" s="262">
        <f t="shared" si="49"/>
        <v>0</v>
      </c>
      <c r="BL219" s="167" t="s">
        <v>127</v>
      </c>
      <c r="BM219" s="261" t="s">
        <v>2117</v>
      </c>
    </row>
    <row r="220" spans="2:65" s="173" customFormat="1" ht="24.2" customHeight="1" x14ac:dyDescent="0.25">
      <c r="B220" s="247"/>
      <c r="C220" s="263" t="s">
        <v>460</v>
      </c>
      <c r="D220" s="263" t="s">
        <v>1881</v>
      </c>
      <c r="E220" s="264" t="s">
        <v>2118</v>
      </c>
      <c r="F220" s="265" t="s">
        <v>2119</v>
      </c>
      <c r="G220" s="266" t="s">
        <v>329</v>
      </c>
      <c r="H220" s="267">
        <v>8</v>
      </c>
      <c r="I220" s="268"/>
      <c r="J220" s="269">
        <f t="shared" si="40"/>
        <v>0</v>
      </c>
      <c r="K220" s="270"/>
      <c r="L220" s="174"/>
      <c r="M220" s="271" t="s">
        <v>4</v>
      </c>
      <c r="N220" s="272" t="s">
        <v>1821</v>
      </c>
      <c r="P220" s="259">
        <f t="shared" si="41"/>
        <v>0</v>
      </c>
      <c r="Q220" s="259">
        <v>0</v>
      </c>
      <c r="R220" s="259">
        <f t="shared" si="42"/>
        <v>0</v>
      </c>
      <c r="S220" s="259">
        <v>0</v>
      </c>
      <c r="T220" s="260">
        <f t="shared" si="43"/>
        <v>0</v>
      </c>
      <c r="AR220" s="261" t="s">
        <v>127</v>
      </c>
      <c r="AT220" s="261" t="s">
        <v>1881</v>
      </c>
      <c r="AU220" s="261" t="s">
        <v>227</v>
      </c>
      <c r="AY220" s="167" t="s">
        <v>1873</v>
      </c>
      <c r="BE220" s="262">
        <f t="shared" si="44"/>
        <v>0</v>
      </c>
      <c r="BF220" s="262">
        <f t="shared" si="45"/>
        <v>0</v>
      </c>
      <c r="BG220" s="262">
        <f t="shared" si="46"/>
        <v>0</v>
      </c>
      <c r="BH220" s="262">
        <f t="shared" si="47"/>
        <v>0</v>
      </c>
      <c r="BI220" s="262">
        <f t="shared" si="48"/>
        <v>0</v>
      </c>
      <c r="BJ220" s="167" t="s">
        <v>219</v>
      </c>
      <c r="BK220" s="262">
        <f t="shared" si="49"/>
        <v>0</v>
      </c>
      <c r="BL220" s="167" t="s">
        <v>127</v>
      </c>
      <c r="BM220" s="261" t="s">
        <v>2120</v>
      </c>
    </row>
    <row r="221" spans="2:65" s="173" customFormat="1" ht="16.5" customHeight="1" x14ac:dyDescent="0.25">
      <c r="B221" s="247"/>
      <c r="C221" s="248" t="s">
        <v>463</v>
      </c>
      <c r="D221" s="248" t="s">
        <v>1876</v>
      </c>
      <c r="E221" s="249" t="s">
        <v>2121</v>
      </c>
      <c r="F221" s="250" t="s">
        <v>2122</v>
      </c>
      <c r="G221" s="251" t="s">
        <v>329</v>
      </c>
      <c r="H221" s="252">
        <v>8</v>
      </c>
      <c r="I221" s="253"/>
      <c r="J221" s="254">
        <f t="shared" si="40"/>
        <v>0</v>
      </c>
      <c r="K221" s="255"/>
      <c r="L221" s="256"/>
      <c r="M221" s="257" t="s">
        <v>4</v>
      </c>
      <c r="N221" s="258" t="s">
        <v>1821</v>
      </c>
      <c r="P221" s="259">
        <f t="shared" si="41"/>
        <v>0</v>
      </c>
      <c r="Q221" s="259">
        <v>2.0000000000000002E-5</v>
      </c>
      <c r="R221" s="259">
        <f t="shared" si="42"/>
        <v>1.6000000000000001E-4</v>
      </c>
      <c r="S221" s="259">
        <v>0</v>
      </c>
      <c r="T221" s="260">
        <f t="shared" si="43"/>
        <v>0</v>
      </c>
      <c r="AR221" s="261" t="s">
        <v>611</v>
      </c>
      <c r="AT221" s="261" t="s">
        <v>1876</v>
      </c>
      <c r="AU221" s="261" t="s">
        <v>227</v>
      </c>
      <c r="AY221" s="167" t="s">
        <v>1873</v>
      </c>
      <c r="BE221" s="262">
        <f t="shared" si="44"/>
        <v>0</v>
      </c>
      <c r="BF221" s="262">
        <f t="shared" si="45"/>
        <v>0</v>
      </c>
      <c r="BG221" s="262">
        <f t="shared" si="46"/>
        <v>0</v>
      </c>
      <c r="BH221" s="262">
        <f t="shared" si="47"/>
        <v>0</v>
      </c>
      <c r="BI221" s="262">
        <f t="shared" si="48"/>
        <v>0</v>
      </c>
      <c r="BJ221" s="167" t="s">
        <v>219</v>
      </c>
      <c r="BK221" s="262">
        <f t="shared" si="49"/>
        <v>0</v>
      </c>
      <c r="BL221" s="167" t="s">
        <v>611</v>
      </c>
      <c r="BM221" s="261" t="s">
        <v>2123</v>
      </c>
    </row>
    <row r="222" spans="2:65" s="173" customFormat="1" ht="24.2" customHeight="1" x14ac:dyDescent="0.25">
      <c r="B222" s="247"/>
      <c r="C222" s="263" t="s">
        <v>466</v>
      </c>
      <c r="D222" s="263" t="s">
        <v>1881</v>
      </c>
      <c r="E222" s="264" t="s">
        <v>2124</v>
      </c>
      <c r="F222" s="265" t="s">
        <v>2125</v>
      </c>
      <c r="G222" s="266" t="s">
        <v>329</v>
      </c>
      <c r="H222" s="267">
        <v>3</v>
      </c>
      <c r="I222" s="268"/>
      <c r="J222" s="269">
        <f t="shared" si="40"/>
        <v>0</v>
      </c>
      <c r="K222" s="270"/>
      <c r="L222" s="174"/>
      <c r="M222" s="271" t="s">
        <v>4</v>
      </c>
      <c r="N222" s="272" t="s">
        <v>1821</v>
      </c>
      <c r="P222" s="259">
        <f t="shared" si="41"/>
        <v>0</v>
      </c>
      <c r="Q222" s="259">
        <v>0</v>
      </c>
      <c r="R222" s="259">
        <f t="shared" si="42"/>
        <v>0</v>
      </c>
      <c r="S222" s="259">
        <v>0</v>
      </c>
      <c r="T222" s="260">
        <f t="shared" si="43"/>
        <v>0</v>
      </c>
      <c r="AR222" s="261" t="s">
        <v>127</v>
      </c>
      <c r="AT222" s="261" t="s">
        <v>1881</v>
      </c>
      <c r="AU222" s="261" t="s">
        <v>227</v>
      </c>
      <c r="AY222" s="167" t="s">
        <v>1873</v>
      </c>
      <c r="BE222" s="262">
        <f t="shared" si="44"/>
        <v>0</v>
      </c>
      <c r="BF222" s="262">
        <f t="shared" si="45"/>
        <v>0</v>
      </c>
      <c r="BG222" s="262">
        <f t="shared" si="46"/>
        <v>0</v>
      </c>
      <c r="BH222" s="262">
        <f t="shared" si="47"/>
        <v>0</v>
      </c>
      <c r="BI222" s="262">
        <f t="shared" si="48"/>
        <v>0</v>
      </c>
      <c r="BJ222" s="167" t="s">
        <v>219</v>
      </c>
      <c r="BK222" s="262">
        <f t="shared" si="49"/>
        <v>0</v>
      </c>
      <c r="BL222" s="167" t="s">
        <v>127</v>
      </c>
      <c r="BM222" s="261" t="s">
        <v>2126</v>
      </c>
    </row>
    <row r="223" spans="2:65" s="173" customFormat="1" ht="16.5" customHeight="1" x14ac:dyDescent="0.25">
      <c r="B223" s="247"/>
      <c r="C223" s="248" t="s">
        <v>470</v>
      </c>
      <c r="D223" s="248" t="s">
        <v>1876</v>
      </c>
      <c r="E223" s="249" t="s">
        <v>2127</v>
      </c>
      <c r="F223" s="250" t="s">
        <v>2128</v>
      </c>
      <c r="G223" s="251" t="s">
        <v>329</v>
      </c>
      <c r="H223" s="252">
        <v>3</v>
      </c>
      <c r="I223" s="253"/>
      <c r="J223" s="254">
        <f t="shared" si="40"/>
        <v>0</v>
      </c>
      <c r="K223" s="255"/>
      <c r="L223" s="256"/>
      <c r="M223" s="257" t="s">
        <v>4</v>
      </c>
      <c r="N223" s="258" t="s">
        <v>1821</v>
      </c>
      <c r="P223" s="259">
        <f t="shared" si="41"/>
        <v>0</v>
      </c>
      <c r="Q223" s="259">
        <v>5.0000000000000002E-5</v>
      </c>
      <c r="R223" s="259">
        <f t="shared" si="42"/>
        <v>1.5000000000000001E-4</v>
      </c>
      <c r="S223" s="259">
        <v>0</v>
      </c>
      <c r="T223" s="260">
        <f t="shared" si="43"/>
        <v>0</v>
      </c>
      <c r="AR223" s="261" t="s">
        <v>611</v>
      </c>
      <c r="AT223" s="261" t="s">
        <v>1876</v>
      </c>
      <c r="AU223" s="261" t="s">
        <v>227</v>
      </c>
      <c r="AY223" s="167" t="s">
        <v>1873</v>
      </c>
      <c r="BE223" s="262">
        <f t="shared" si="44"/>
        <v>0</v>
      </c>
      <c r="BF223" s="262">
        <f t="shared" si="45"/>
        <v>0</v>
      </c>
      <c r="BG223" s="262">
        <f t="shared" si="46"/>
        <v>0</v>
      </c>
      <c r="BH223" s="262">
        <f t="shared" si="47"/>
        <v>0</v>
      </c>
      <c r="BI223" s="262">
        <f t="shared" si="48"/>
        <v>0</v>
      </c>
      <c r="BJ223" s="167" t="s">
        <v>219</v>
      </c>
      <c r="BK223" s="262">
        <f t="shared" si="49"/>
        <v>0</v>
      </c>
      <c r="BL223" s="167" t="s">
        <v>611</v>
      </c>
      <c r="BM223" s="261" t="s">
        <v>2129</v>
      </c>
    </row>
    <row r="224" spans="2:65" s="173" customFormat="1" ht="24.2" customHeight="1" x14ac:dyDescent="0.25">
      <c r="B224" s="247"/>
      <c r="C224" s="263" t="s">
        <v>473</v>
      </c>
      <c r="D224" s="263" t="s">
        <v>1881</v>
      </c>
      <c r="E224" s="264" t="s">
        <v>2130</v>
      </c>
      <c r="F224" s="265" t="s">
        <v>2131</v>
      </c>
      <c r="G224" s="266" t="s">
        <v>329</v>
      </c>
      <c r="H224" s="267">
        <v>4</v>
      </c>
      <c r="I224" s="268"/>
      <c r="J224" s="269">
        <f t="shared" si="40"/>
        <v>0</v>
      </c>
      <c r="K224" s="270"/>
      <c r="L224" s="174"/>
      <c r="M224" s="271" t="s">
        <v>4</v>
      </c>
      <c r="N224" s="272" t="s">
        <v>1821</v>
      </c>
      <c r="P224" s="259">
        <f t="shared" si="41"/>
        <v>0</v>
      </c>
      <c r="Q224" s="259">
        <v>0</v>
      </c>
      <c r="R224" s="259">
        <f t="shared" si="42"/>
        <v>0</v>
      </c>
      <c r="S224" s="259">
        <v>0</v>
      </c>
      <c r="T224" s="260">
        <f t="shared" si="43"/>
        <v>0</v>
      </c>
      <c r="AR224" s="261" t="s">
        <v>127</v>
      </c>
      <c r="AT224" s="261" t="s">
        <v>1881</v>
      </c>
      <c r="AU224" s="261" t="s">
        <v>227</v>
      </c>
      <c r="AY224" s="167" t="s">
        <v>1873</v>
      </c>
      <c r="BE224" s="262">
        <f t="shared" si="44"/>
        <v>0</v>
      </c>
      <c r="BF224" s="262">
        <f t="shared" si="45"/>
        <v>0</v>
      </c>
      <c r="BG224" s="262">
        <f t="shared" si="46"/>
        <v>0</v>
      </c>
      <c r="BH224" s="262">
        <f t="shared" si="47"/>
        <v>0</v>
      </c>
      <c r="BI224" s="262">
        <f t="shared" si="48"/>
        <v>0</v>
      </c>
      <c r="BJ224" s="167" t="s">
        <v>219</v>
      </c>
      <c r="BK224" s="262">
        <f t="shared" si="49"/>
        <v>0</v>
      </c>
      <c r="BL224" s="167" t="s">
        <v>127</v>
      </c>
      <c r="BM224" s="261" t="s">
        <v>2132</v>
      </c>
    </row>
    <row r="225" spans="2:65" s="173" customFormat="1" ht="16.5" customHeight="1" x14ac:dyDescent="0.25">
      <c r="B225" s="247"/>
      <c r="C225" s="248" t="s">
        <v>165</v>
      </c>
      <c r="D225" s="248" t="s">
        <v>1876</v>
      </c>
      <c r="E225" s="249" t="s">
        <v>2133</v>
      </c>
      <c r="F225" s="250" t="s">
        <v>2134</v>
      </c>
      <c r="G225" s="251" t="s">
        <v>329</v>
      </c>
      <c r="H225" s="252">
        <v>4</v>
      </c>
      <c r="I225" s="253"/>
      <c r="J225" s="254">
        <f t="shared" si="40"/>
        <v>0</v>
      </c>
      <c r="K225" s="255"/>
      <c r="L225" s="256"/>
      <c r="M225" s="257" t="s">
        <v>4</v>
      </c>
      <c r="N225" s="258" t="s">
        <v>1821</v>
      </c>
      <c r="P225" s="259">
        <f t="shared" si="41"/>
        <v>0</v>
      </c>
      <c r="Q225" s="259">
        <v>5.0000000000000002E-5</v>
      </c>
      <c r="R225" s="259">
        <f t="shared" si="42"/>
        <v>2.0000000000000001E-4</v>
      </c>
      <c r="S225" s="259">
        <v>0</v>
      </c>
      <c r="T225" s="260">
        <f t="shared" si="43"/>
        <v>0</v>
      </c>
      <c r="AR225" s="261" t="s">
        <v>611</v>
      </c>
      <c r="AT225" s="261" t="s">
        <v>1876</v>
      </c>
      <c r="AU225" s="261" t="s">
        <v>227</v>
      </c>
      <c r="AY225" s="167" t="s">
        <v>1873</v>
      </c>
      <c r="BE225" s="262">
        <f t="shared" si="44"/>
        <v>0</v>
      </c>
      <c r="BF225" s="262">
        <f t="shared" si="45"/>
        <v>0</v>
      </c>
      <c r="BG225" s="262">
        <f t="shared" si="46"/>
        <v>0</v>
      </c>
      <c r="BH225" s="262">
        <f t="shared" si="47"/>
        <v>0</v>
      </c>
      <c r="BI225" s="262">
        <f t="shared" si="48"/>
        <v>0</v>
      </c>
      <c r="BJ225" s="167" t="s">
        <v>219</v>
      </c>
      <c r="BK225" s="262">
        <f t="shared" si="49"/>
        <v>0</v>
      </c>
      <c r="BL225" s="167" t="s">
        <v>611</v>
      </c>
      <c r="BM225" s="261" t="s">
        <v>2135</v>
      </c>
    </row>
    <row r="226" spans="2:65" s="173" customFormat="1" ht="24.2" customHeight="1" x14ac:dyDescent="0.25">
      <c r="B226" s="247"/>
      <c r="C226" s="263" t="s">
        <v>478</v>
      </c>
      <c r="D226" s="263" t="s">
        <v>1881</v>
      </c>
      <c r="E226" s="264" t="s">
        <v>2136</v>
      </c>
      <c r="F226" s="265" t="s">
        <v>2137</v>
      </c>
      <c r="G226" s="266" t="s">
        <v>329</v>
      </c>
      <c r="H226" s="267">
        <v>7</v>
      </c>
      <c r="I226" s="268"/>
      <c r="J226" s="269">
        <f t="shared" si="40"/>
        <v>0</v>
      </c>
      <c r="K226" s="270"/>
      <c r="L226" s="174"/>
      <c r="M226" s="271" t="s">
        <v>4</v>
      </c>
      <c r="N226" s="272" t="s">
        <v>1821</v>
      </c>
      <c r="P226" s="259">
        <f t="shared" si="41"/>
        <v>0</v>
      </c>
      <c r="Q226" s="259">
        <v>0</v>
      </c>
      <c r="R226" s="259">
        <f t="shared" si="42"/>
        <v>0</v>
      </c>
      <c r="S226" s="259">
        <v>0</v>
      </c>
      <c r="T226" s="260">
        <f t="shared" si="43"/>
        <v>0</v>
      </c>
      <c r="AR226" s="261" t="s">
        <v>127</v>
      </c>
      <c r="AT226" s="261" t="s">
        <v>1881</v>
      </c>
      <c r="AU226" s="261" t="s">
        <v>227</v>
      </c>
      <c r="AY226" s="167" t="s">
        <v>1873</v>
      </c>
      <c r="BE226" s="262">
        <f t="shared" si="44"/>
        <v>0</v>
      </c>
      <c r="BF226" s="262">
        <f t="shared" si="45"/>
        <v>0</v>
      </c>
      <c r="BG226" s="262">
        <f t="shared" si="46"/>
        <v>0</v>
      </c>
      <c r="BH226" s="262">
        <f t="shared" si="47"/>
        <v>0</v>
      </c>
      <c r="BI226" s="262">
        <f t="shared" si="48"/>
        <v>0</v>
      </c>
      <c r="BJ226" s="167" t="s">
        <v>219</v>
      </c>
      <c r="BK226" s="262">
        <f t="shared" si="49"/>
        <v>0</v>
      </c>
      <c r="BL226" s="167" t="s">
        <v>127</v>
      </c>
      <c r="BM226" s="261" t="s">
        <v>2138</v>
      </c>
    </row>
    <row r="227" spans="2:65" s="173" customFormat="1" ht="16.5" customHeight="1" x14ac:dyDescent="0.25">
      <c r="B227" s="247"/>
      <c r="C227" s="248" t="s">
        <v>481</v>
      </c>
      <c r="D227" s="248" t="s">
        <v>1876</v>
      </c>
      <c r="E227" s="249" t="s">
        <v>2139</v>
      </c>
      <c r="F227" s="250" t="s">
        <v>2140</v>
      </c>
      <c r="G227" s="251" t="s">
        <v>329</v>
      </c>
      <c r="H227" s="252">
        <v>7</v>
      </c>
      <c r="I227" s="253"/>
      <c r="J227" s="254">
        <f t="shared" si="40"/>
        <v>0</v>
      </c>
      <c r="K227" s="255"/>
      <c r="L227" s="256"/>
      <c r="M227" s="257" t="s">
        <v>4</v>
      </c>
      <c r="N227" s="258" t="s">
        <v>1821</v>
      </c>
      <c r="P227" s="259">
        <f t="shared" si="41"/>
        <v>0</v>
      </c>
      <c r="Q227" s="259">
        <v>5.0000000000000002E-5</v>
      </c>
      <c r="R227" s="259">
        <f t="shared" si="42"/>
        <v>3.5E-4</v>
      </c>
      <c r="S227" s="259">
        <v>0</v>
      </c>
      <c r="T227" s="260">
        <f t="shared" si="43"/>
        <v>0</v>
      </c>
      <c r="AR227" s="261" t="s">
        <v>611</v>
      </c>
      <c r="AT227" s="261" t="s">
        <v>1876</v>
      </c>
      <c r="AU227" s="261" t="s">
        <v>227</v>
      </c>
      <c r="AY227" s="167" t="s">
        <v>1873</v>
      </c>
      <c r="BE227" s="262">
        <f t="shared" si="44"/>
        <v>0</v>
      </c>
      <c r="BF227" s="262">
        <f t="shared" si="45"/>
        <v>0</v>
      </c>
      <c r="BG227" s="262">
        <f t="shared" si="46"/>
        <v>0</v>
      </c>
      <c r="BH227" s="262">
        <f t="shared" si="47"/>
        <v>0</v>
      </c>
      <c r="BI227" s="262">
        <f t="shared" si="48"/>
        <v>0</v>
      </c>
      <c r="BJ227" s="167" t="s">
        <v>219</v>
      </c>
      <c r="BK227" s="262">
        <f t="shared" si="49"/>
        <v>0</v>
      </c>
      <c r="BL227" s="167" t="s">
        <v>611</v>
      </c>
      <c r="BM227" s="261" t="s">
        <v>2141</v>
      </c>
    </row>
    <row r="228" spans="2:65" s="173" customFormat="1" ht="24.2" customHeight="1" x14ac:dyDescent="0.25">
      <c r="B228" s="247"/>
      <c r="C228" s="263" t="s">
        <v>484</v>
      </c>
      <c r="D228" s="263" t="s">
        <v>1881</v>
      </c>
      <c r="E228" s="264" t="s">
        <v>2142</v>
      </c>
      <c r="F228" s="265" t="s">
        <v>2143</v>
      </c>
      <c r="G228" s="266" t="s">
        <v>329</v>
      </c>
      <c r="H228" s="267">
        <v>1</v>
      </c>
      <c r="I228" s="268"/>
      <c r="J228" s="269">
        <f t="shared" si="40"/>
        <v>0</v>
      </c>
      <c r="K228" s="270"/>
      <c r="L228" s="174"/>
      <c r="M228" s="271" t="s">
        <v>4</v>
      </c>
      <c r="N228" s="272" t="s">
        <v>1821</v>
      </c>
      <c r="P228" s="259">
        <f t="shared" si="41"/>
        <v>0</v>
      </c>
      <c r="Q228" s="259">
        <v>0</v>
      </c>
      <c r="R228" s="259">
        <f t="shared" si="42"/>
        <v>0</v>
      </c>
      <c r="S228" s="259">
        <v>0</v>
      </c>
      <c r="T228" s="260">
        <f t="shared" si="43"/>
        <v>0</v>
      </c>
      <c r="AR228" s="261" t="s">
        <v>127</v>
      </c>
      <c r="AT228" s="261" t="s">
        <v>1881</v>
      </c>
      <c r="AU228" s="261" t="s">
        <v>227</v>
      </c>
      <c r="AY228" s="167" t="s">
        <v>1873</v>
      </c>
      <c r="BE228" s="262">
        <f t="shared" si="44"/>
        <v>0</v>
      </c>
      <c r="BF228" s="262">
        <f t="shared" si="45"/>
        <v>0</v>
      </c>
      <c r="BG228" s="262">
        <f t="shared" si="46"/>
        <v>0</v>
      </c>
      <c r="BH228" s="262">
        <f t="shared" si="47"/>
        <v>0</v>
      </c>
      <c r="BI228" s="262">
        <f t="shared" si="48"/>
        <v>0</v>
      </c>
      <c r="BJ228" s="167" t="s">
        <v>219</v>
      </c>
      <c r="BK228" s="262">
        <f t="shared" si="49"/>
        <v>0</v>
      </c>
      <c r="BL228" s="167" t="s">
        <v>127</v>
      </c>
      <c r="BM228" s="261" t="s">
        <v>2144</v>
      </c>
    </row>
    <row r="229" spans="2:65" s="173" customFormat="1" ht="16.5" customHeight="1" x14ac:dyDescent="0.25">
      <c r="B229" s="247"/>
      <c r="C229" s="248" t="s">
        <v>167</v>
      </c>
      <c r="D229" s="248" t="s">
        <v>1876</v>
      </c>
      <c r="E229" s="249" t="s">
        <v>2145</v>
      </c>
      <c r="F229" s="250" t="s">
        <v>2146</v>
      </c>
      <c r="G229" s="251" t="s">
        <v>1901</v>
      </c>
      <c r="H229" s="252">
        <v>1</v>
      </c>
      <c r="I229" s="253"/>
      <c r="J229" s="254">
        <f t="shared" si="40"/>
        <v>0</v>
      </c>
      <c r="K229" s="255"/>
      <c r="L229" s="256"/>
      <c r="M229" s="257" t="s">
        <v>4</v>
      </c>
      <c r="N229" s="258" t="s">
        <v>1821</v>
      </c>
      <c r="P229" s="259">
        <f t="shared" si="41"/>
        <v>0</v>
      </c>
      <c r="Q229" s="259">
        <v>0</v>
      </c>
      <c r="R229" s="259">
        <f t="shared" si="42"/>
        <v>0</v>
      </c>
      <c r="S229" s="259">
        <v>0</v>
      </c>
      <c r="T229" s="260">
        <f t="shared" si="43"/>
        <v>0</v>
      </c>
      <c r="AR229" s="261" t="s">
        <v>1009</v>
      </c>
      <c r="AT229" s="261" t="s">
        <v>1876</v>
      </c>
      <c r="AU229" s="261" t="s">
        <v>227</v>
      </c>
      <c r="AY229" s="167" t="s">
        <v>1873</v>
      </c>
      <c r="BE229" s="262">
        <f t="shared" si="44"/>
        <v>0</v>
      </c>
      <c r="BF229" s="262">
        <f t="shared" si="45"/>
        <v>0</v>
      </c>
      <c r="BG229" s="262">
        <f t="shared" si="46"/>
        <v>0</v>
      </c>
      <c r="BH229" s="262">
        <f t="shared" si="47"/>
        <v>0</v>
      </c>
      <c r="BI229" s="262">
        <f t="shared" si="48"/>
        <v>0</v>
      </c>
      <c r="BJ229" s="167" t="s">
        <v>219</v>
      </c>
      <c r="BK229" s="262">
        <f t="shared" si="49"/>
        <v>0</v>
      </c>
      <c r="BL229" s="167" t="s">
        <v>127</v>
      </c>
      <c r="BM229" s="261" t="s">
        <v>2147</v>
      </c>
    </row>
    <row r="230" spans="2:65" s="173" customFormat="1" ht="24.2" customHeight="1" x14ac:dyDescent="0.25">
      <c r="B230" s="247"/>
      <c r="C230" s="263" t="s">
        <v>489</v>
      </c>
      <c r="D230" s="263" t="s">
        <v>1881</v>
      </c>
      <c r="E230" s="264" t="s">
        <v>2148</v>
      </c>
      <c r="F230" s="265" t="s">
        <v>2149</v>
      </c>
      <c r="G230" s="266" t="s">
        <v>329</v>
      </c>
      <c r="H230" s="267">
        <v>44</v>
      </c>
      <c r="I230" s="268"/>
      <c r="J230" s="269">
        <f t="shared" si="40"/>
        <v>0</v>
      </c>
      <c r="K230" s="270"/>
      <c r="L230" s="174"/>
      <c r="M230" s="271" t="s">
        <v>4</v>
      </c>
      <c r="N230" s="272" t="s">
        <v>1821</v>
      </c>
      <c r="P230" s="259">
        <f t="shared" si="41"/>
        <v>0</v>
      </c>
      <c r="Q230" s="259">
        <v>0</v>
      </c>
      <c r="R230" s="259">
        <f t="shared" si="42"/>
        <v>0</v>
      </c>
      <c r="S230" s="259">
        <v>0</v>
      </c>
      <c r="T230" s="260">
        <f t="shared" si="43"/>
        <v>0</v>
      </c>
      <c r="AR230" s="261" t="s">
        <v>127</v>
      </c>
      <c r="AT230" s="261" t="s">
        <v>1881</v>
      </c>
      <c r="AU230" s="261" t="s">
        <v>227</v>
      </c>
      <c r="AY230" s="167" t="s">
        <v>1873</v>
      </c>
      <c r="BE230" s="262">
        <f t="shared" si="44"/>
        <v>0</v>
      </c>
      <c r="BF230" s="262">
        <f t="shared" si="45"/>
        <v>0</v>
      </c>
      <c r="BG230" s="262">
        <f t="shared" si="46"/>
        <v>0</v>
      </c>
      <c r="BH230" s="262">
        <f t="shared" si="47"/>
        <v>0</v>
      </c>
      <c r="BI230" s="262">
        <f t="shared" si="48"/>
        <v>0</v>
      </c>
      <c r="BJ230" s="167" t="s">
        <v>219</v>
      </c>
      <c r="BK230" s="262">
        <f t="shared" si="49"/>
        <v>0</v>
      </c>
      <c r="BL230" s="167" t="s">
        <v>127</v>
      </c>
      <c r="BM230" s="261" t="s">
        <v>2150</v>
      </c>
    </row>
    <row r="231" spans="2:65" s="173" customFormat="1" ht="16.5" customHeight="1" x14ac:dyDescent="0.25">
      <c r="B231" s="247"/>
      <c r="C231" s="248" t="s">
        <v>169</v>
      </c>
      <c r="D231" s="248" t="s">
        <v>1876</v>
      </c>
      <c r="E231" s="249" t="s">
        <v>2151</v>
      </c>
      <c r="F231" s="250" t="s">
        <v>2152</v>
      </c>
      <c r="G231" s="251" t="s">
        <v>329</v>
      </c>
      <c r="H231" s="252">
        <v>44</v>
      </c>
      <c r="I231" s="253"/>
      <c r="J231" s="254">
        <f t="shared" si="40"/>
        <v>0</v>
      </c>
      <c r="K231" s="255"/>
      <c r="L231" s="256"/>
      <c r="M231" s="257" t="s">
        <v>4</v>
      </c>
      <c r="N231" s="258" t="s">
        <v>1821</v>
      </c>
      <c r="P231" s="259">
        <f t="shared" si="41"/>
        <v>0</v>
      </c>
      <c r="Q231" s="259">
        <v>6.0000000000000002E-5</v>
      </c>
      <c r="R231" s="259">
        <f t="shared" si="42"/>
        <v>2.64E-3</v>
      </c>
      <c r="S231" s="259">
        <v>0</v>
      </c>
      <c r="T231" s="260">
        <f t="shared" si="43"/>
        <v>0</v>
      </c>
      <c r="AR231" s="261" t="s">
        <v>611</v>
      </c>
      <c r="AT231" s="261" t="s">
        <v>1876</v>
      </c>
      <c r="AU231" s="261" t="s">
        <v>227</v>
      </c>
      <c r="AY231" s="167" t="s">
        <v>1873</v>
      </c>
      <c r="BE231" s="262">
        <f t="shared" si="44"/>
        <v>0</v>
      </c>
      <c r="BF231" s="262">
        <f t="shared" si="45"/>
        <v>0</v>
      </c>
      <c r="BG231" s="262">
        <f t="shared" si="46"/>
        <v>0</v>
      </c>
      <c r="BH231" s="262">
        <f t="shared" si="47"/>
        <v>0</v>
      </c>
      <c r="BI231" s="262">
        <f t="shared" si="48"/>
        <v>0</v>
      </c>
      <c r="BJ231" s="167" t="s">
        <v>219</v>
      </c>
      <c r="BK231" s="262">
        <f t="shared" si="49"/>
        <v>0</v>
      </c>
      <c r="BL231" s="167" t="s">
        <v>611</v>
      </c>
      <c r="BM231" s="261" t="s">
        <v>2153</v>
      </c>
    </row>
    <row r="232" spans="2:65" s="173" customFormat="1" ht="24.2" customHeight="1" x14ac:dyDescent="0.25">
      <c r="B232" s="247"/>
      <c r="C232" s="248" t="s">
        <v>495</v>
      </c>
      <c r="D232" s="248" t="s">
        <v>1876</v>
      </c>
      <c r="E232" s="249" t="s">
        <v>2154</v>
      </c>
      <c r="F232" s="250" t="s">
        <v>2155</v>
      </c>
      <c r="G232" s="251" t="s">
        <v>329</v>
      </c>
      <c r="H232" s="252">
        <v>60</v>
      </c>
      <c r="I232" s="253"/>
      <c r="J232" s="254">
        <f t="shared" si="40"/>
        <v>0</v>
      </c>
      <c r="K232" s="255"/>
      <c r="L232" s="256"/>
      <c r="M232" s="257" t="s">
        <v>4</v>
      </c>
      <c r="N232" s="258" t="s">
        <v>1821</v>
      </c>
      <c r="P232" s="259">
        <f t="shared" si="41"/>
        <v>0</v>
      </c>
      <c r="Q232" s="259">
        <v>1.9999999999999999E-6</v>
      </c>
      <c r="R232" s="259">
        <f t="shared" si="42"/>
        <v>1.1999999999999999E-4</v>
      </c>
      <c r="S232" s="259">
        <v>0</v>
      </c>
      <c r="T232" s="260">
        <f t="shared" si="43"/>
        <v>0</v>
      </c>
      <c r="AR232" s="261" t="s">
        <v>611</v>
      </c>
      <c r="AT232" s="261" t="s">
        <v>1876</v>
      </c>
      <c r="AU232" s="261" t="s">
        <v>227</v>
      </c>
      <c r="AY232" s="167" t="s">
        <v>1873</v>
      </c>
      <c r="BE232" s="262">
        <f t="shared" si="44"/>
        <v>0</v>
      </c>
      <c r="BF232" s="262">
        <f t="shared" si="45"/>
        <v>0</v>
      </c>
      <c r="BG232" s="262">
        <f t="shared" si="46"/>
        <v>0</v>
      </c>
      <c r="BH232" s="262">
        <f t="shared" si="47"/>
        <v>0</v>
      </c>
      <c r="BI232" s="262">
        <f t="shared" si="48"/>
        <v>0</v>
      </c>
      <c r="BJ232" s="167" t="s">
        <v>219</v>
      </c>
      <c r="BK232" s="262">
        <f t="shared" si="49"/>
        <v>0</v>
      </c>
      <c r="BL232" s="167" t="s">
        <v>611</v>
      </c>
      <c r="BM232" s="261" t="s">
        <v>2156</v>
      </c>
    </row>
    <row r="233" spans="2:65" s="173" customFormat="1" ht="24.2" customHeight="1" x14ac:dyDescent="0.25">
      <c r="B233" s="247"/>
      <c r="C233" s="248" t="s">
        <v>171</v>
      </c>
      <c r="D233" s="248" t="s">
        <v>1876</v>
      </c>
      <c r="E233" s="249" t="s">
        <v>2157</v>
      </c>
      <c r="F233" s="250" t="s">
        <v>2158</v>
      </c>
      <c r="G233" s="251" t="s">
        <v>329</v>
      </c>
      <c r="H233" s="252">
        <v>55</v>
      </c>
      <c r="I233" s="253"/>
      <c r="J233" s="254">
        <f t="shared" si="40"/>
        <v>0</v>
      </c>
      <c r="K233" s="255"/>
      <c r="L233" s="256"/>
      <c r="M233" s="257" t="s">
        <v>4</v>
      </c>
      <c r="N233" s="258" t="s">
        <v>1821</v>
      </c>
      <c r="P233" s="259">
        <f t="shared" si="41"/>
        <v>0</v>
      </c>
      <c r="Q233" s="259">
        <v>3.0000000000000001E-6</v>
      </c>
      <c r="R233" s="259">
        <f t="shared" si="42"/>
        <v>1.65E-4</v>
      </c>
      <c r="S233" s="259">
        <v>0</v>
      </c>
      <c r="T233" s="260">
        <f t="shared" si="43"/>
        <v>0</v>
      </c>
      <c r="AR233" s="261" t="s">
        <v>611</v>
      </c>
      <c r="AT233" s="261" t="s">
        <v>1876</v>
      </c>
      <c r="AU233" s="261" t="s">
        <v>227</v>
      </c>
      <c r="AY233" s="167" t="s">
        <v>1873</v>
      </c>
      <c r="BE233" s="262">
        <f t="shared" si="44"/>
        <v>0</v>
      </c>
      <c r="BF233" s="262">
        <f t="shared" si="45"/>
        <v>0</v>
      </c>
      <c r="BG233" s="262">
        <f t="shared" si="46"/>
        <v>0</v>
      </c>
      <c r="BH233" s="262">
        <f t="shared" si="47"/>
        <v>0</v>
      </c>
      <c r="BI233" s="262">
        <f t="shared" si="48"/>
        <v>0</v>
      </c>
      <c r="BJ233" s="167" t="s">
        <v>219</v>
      </c>
      <c r="BK233" s="262">
        <f t="shared" si="49"/>
        <v>0</v>
      </c>
      <c r="BL233" s="167" t="s">
        <v>611</v>
      </c>
      <c r="BM233" s="261" t="s">
        <v>2159</v>
      </c>
    </row>
    <row r="234" spans="2:65" s="173" customFormat="1" ht="24.2" customHeight="1" x14ac:dyDescent="0.25">
      <c r="B234" s="247"/>
      <c r="C234" s="248" t="s">
        <v>500</v>
      </c>
      <c r="D234" s="248" t="s">
        <v>1876</v>
      </c>
      <c r="E234" s="249" t="s">
        <v>2160</v>
      </c>
      <c r="F234" s="250" t="s">
        <v>2161</v>
      </c>
      <c r="G234" s="251" t="s">
        <v>329</v>
      </c>
      <c r="H234" s="252">
        <v>70</v>
      </c>
      <c r="I234" s="253"/>
      <c r="J234" s="254">
        <f t="shared" si="40"/>
        <v>0</v>
      </c>
      <c r="K234" s="255"/>
      <c r="L234" s="256"/>
      <c r="M234" s="257" t="s">
        <v>4</v>
      </c>
      <c r="N234" s="258" t="s">
        <v>1821</v>
      </c>
      <c r="P234" s="259">
        <f t="shared" si="41"/>
        <v>0</v>
      </c>
      <c r="Q234" s="259">
        <v>5.0000000000000004E-6</v>
      </c>
      <c r="R234" s="259">
        <f t="shared" si="42"/>
        <v>3.5000000000000005E-4</v>
      </c>
      <c r="S234" s="259">
        <v>0</v>
      </c>
      <c r="T234" s="260">
        <f t="shared" si="43"/>
        <v>0</v>
      </c>
      <c r="AR234" s="261" t="s">
        <v>611</v>
      </c>
      <c r="AT234" s="261" t="s">
        <v>1876</v>
      </c>
      <c r="AU234" s="261" t="s">
        <v>227</v>
      </c>
      <c r="AY234" s="167" t="s">
        <v>1873</v>
      </c>
      <c r="BE234" s="262">
        <f t="shared" si="44"/>
        <v>0</v>
      </c>
      <c r="BF234" s="262">
        <f t="shared" si="45"/>
        <v>0</v>
      </c>
      <c r="BG234" s="262">
        <f t="shared" si="46"/>
        <v>0</v>
      </c>
      <c r="BH234" s="262">
        <f t="shared" si="47"/>
        <v>0</v>
      </c>
      <c r="BI234" s="262">
        <f t="shared" si="48"/>
        <v>0</v>
      </c>
      <c r="BJ234" s="167" t="s">
        <v>219</v>
      </c>
      <c r="BK234" s="262">
        <f t="shared" si="49"/>
        <v>0</v>
      </c>
      <c r="BL234" s="167" t="s">
        <v>611</v>
      </c>
      <c r="BM234" s="261" t="s">
        <v>2162</v>
      </c>
    </row>
    <row r="235" spans="2:65" s="173" customFormat="1" ht="24.2" customHeight="1" x14ac:dyDescent="0.25">
      <c r="B235" s="247"/>
      <c r="C235" s="248" t="s">
        <v>503</v>
      </c>
      <c r="D235" s="248" t="s">
        <v>1876</v>
      </c>
      <c r="E235" s="249" t="s">
        <v>2163</v>
      </c>
      <c r="F235" s="250" t="s">
        <v>2164</v>
      </c>
      <c r="G235" s="251" t="s">
        <v>329</v>
      </c>
      <c r="H235" s="252">
        <v>60</v>
      </c>
      <c r="I235" s="253"/>
      <c r="J235" s="254">
        <f t="shared" si="40"/>
        <v>0</v>
      </c>
      <c r="K235" s="255"/>
      <c r="L235" s="256"/>
      <c r="M235" s="257" t="s">
        <v>4</v>
      </c>
      <c r="N235" s="258" t="s">
        <v>1821</v>
      </c>
      <c r="P235" s="259">
        <f t="shared" si="41"/>
        <v>0</v>
      </c>
      <c r="Q235" s="259">
        <v>1.0000000000000001E-5</v>
      </c>
      <c r="R235" s="259">
        <f t="shared" si="42"/>
        <v>6.0000000000000006E-4</v>
      </c>
      <c r="S235" s="259">
        <v>0</v>
      </c>
      <c r="T235" s="260">
        <f t="shared" si="43"/>
        <v>0</v>
      </c>
      <c r="AR235" s="261" t="s">
        <v>611</v>
      </c>
      <c r="AT235" s="261" t="s">
        <v>1876</v>
      </c>
      <c r="AU235" s="261" t="s">
        <v>227</v>
      </c>
      <c r="AY235" s="167" t="s">
        <v>1873</v>
      </c>
      <c r="BE235" s="262">
        <f t="shared" si="44"/>
        <v>0</v>
      </c>
      <c r="BF235" s="262">
        <f t="shared" si="45"/>
        <v>0</v>
      </c>
      <c r="BG235" s="262">
        <f t="shared" si="46"/>
        <v>0</v>
      </c>
      <c r="BH235" s="262">
        <f t="shared" si="47"/>
        <v>0</v>
      </c>
      <c r="BI235" s="262">
        <f t="shared" si="48"/>
        <v>0</v>
      </c>
      <c r="BJ235" s="167" t="s">
        <v>219</v>
      </c>
      <c r="BK235" s="262">
        <f t="shared" si="49"/>
        <v>0</v>
      </c>
      <c r="BL235" s="167" t="s">
        <v>611</v>
      </c>
      <c r="BM235" s="261" t="s">
        <v>2165</v>
      </c>
    </row>
    <row r="236" spans="2:65" s="173" customFormat="1" ht="24.2" customHeight="1" x14ac:dyDescent="0.25">
      <c r="B236" s="247"/>
      <c r="C236" s="263" t="s">
        <v>173</v>
      </c>
      <c r="D236" s="263" t="s">
        <v>1881</v>
      </c>
      <c r="E236" s="264" t="s">
        <v>2166</v>
      </c>
      <c r="F236" s="265" t="s">
        <v>2167</v>
      </c>
      <c r="G236" s="266" t="s">
        <v>329</v>
      </c>
      <c r="H236" s="267">
        <v>6</v>
      </c>
      <c r="I236" s="268"/>
      <c r="J236" s="269">
        <f t="shared" si="40"/>
        <v>0</v>
      </c>
      <c r="K236" s="270"/>
      <c r="L236" s="174"/>
      <c r="M236" s="271" t="s">
        <v>4</v>
      </c>
      <c r="N236" s="272" t="s">
        <v>1821</v>
      </c>
      <c r="P236" s="259">
        <f t="shared" si="41"/>
        <v>0</v>
      </c>
      <c r="Q236" s="259">
        <v>0</v>
      </c>
      <c r="R236" s="259">
        <f t="shared" si="42"/>
        <v>0</v>
      </c>
      <c r="S236" s="259">
        <v>0</v>
      </c>
      <c r="T236" s="260">
        <f t="shared" si="43"/>
        <v>0</v>
      </c>
      <c r="AR236" s="261" t="s">
        <v>127</v>
      </c>
      <c r="AT236" s="261" t="s">
        <v>1881</v>
      </c>
      <c r="AU236" s="261" t="s">
        <v>227</v>
      </c>
      <c r="AY236" s="167" t="s">
        <v>1873</v>
      </c>
      <c r="BE236" s="262">
        <f t="shared" si="44"/>
        <v>0</v>
      </c>
      <c r="BF236" s="262">
        <f t="shared" si="45"/>
        <v>0</v>
      </c>
      <c r="BG236" s="262">
        <f t="shared" si="46"/>
        <v>0</v>
      </c>
      <c r="BH236" s="262">
        <f t="shared" si="47"/>
        <v>0</v>
      </c>
      <c r="BI236" s="262">
        <f t="shared" si="48"/>
        <v>0</v>
      </c>
      <c r="BJ236" s="167" t="s">
        <v>219</v>
      </c>
      <c r="BK236" s="262">
        <f t="shared" si="49"/>
        <v>0</v>
      </c>
      <c r="BL236" s="167" t="s">
        <v>127</v>
      </c>
      <c r="BM236" s="261" t="s">
        <v>2168</v>
      </c>
    </row>
    <row r="237" spans="2:65" s="173" customFormat="1" ht="16.5" customHeight="1" x14ac:dyDescent="0.25">
      <c r="B237" s="247"/>
      <c r="C237" s="248" t="s">
        <v>175</v>
      </c>
      <c r="D237" s="248" t="s">
        <v>1876</v>
      </c>
      <c r="E237" s="249" t="s">
        <v>2169</v>
      </c>
      <c r="F237" s="250" t="s">
        <v>2170</v>
      </c>
      <c r="G237" s="251" t="s">
        <v>1901</v>
      </c>
      <c r="H237" s="252">
        <v>6</v>
      </c>
      <c r="I237" s="253"/>
      <c r="J237" s="254">
        <f t="shared" si="40"/>
        <v>0</v>
      </c>
      <c r="K237" s="255"/>
      <c r="L237" s="256"/>
      <c r="M237" s="257" t="s">
        <v>4</v>
      </c>
      <c r="N237" s="258" t="s">
        <v>1821</v>
      </c>
      <c r="P237" s="259">
        <f t="shared" si="41"/>
        <v>0</v>
      </c>
      <c r="Q237" s="259">
        <v>0</v>
      </c>
      <c r="R237" s="259">
        <f t="shared" si="42"/>
        <v>0</v>
      </c>
      <c r="S237" s="259">
        <v>0</v>
      </c>
      <c r="T237" s="260">
        <f t="shared" si="43"/>
        <v>0</v>
      </c>
      <c r="AR237" s="261" t="s">
        <v>1009</v>
      </c>
      <c r="AT237" s="261" t="s">
        <v>1876</v>
      </c>
      <c r="AU237" s="261" t="s">
        <v>227</v>
      </c>
      <c r="AY237" s="167" t="s">
        <v>1873</v>
      </c>
      <c r="BE237" s="262">
        <f t="shared" si="44"/>
        <v>0</v>
      </c>
      <c r="BF237" s="262">
        <f t="shared" si="45"/>
        <v>0</v>
      </c>
      <c r="BG237" s="262">
        <f t="shared" si="46"/>
        <v>0</v>
      </c>
      <c r="BH237" s="262">
        <f t="shared" si="47"/>
        <v>0</v>
      </c>
      <c r="BI237" s="262">
        <f t="shared" si="48"/>
        <v>0</v>
      </c>
      <c r="BJ237" s="167" t="s">
        <v>219</v>
      </c>
      <c r="BK237" s="262">
        <f t="shared" si="49"/>
        <v>0</v>
      </c>
      <c r="BL237" s="167" t="s">
        <v>127</v>
      </c>
      <c r="BM237" s="261" t="s">
        <v>2171</v>
      </c>
    </row>
    <row r="238" spans="2:65" s="173" customFormat="1" ht="16.5" customHeight="1" x14ac:dyDescent="0.25">
      <c r="B238" s="247"/>
      <c r="C238" s="263" t="s">
        <v>177</v>
      </c>
      <c r="D238" s="263" t="s">
        <v>1881</v>
      </c>
      <c r="E238" s="264" t="s">
        <v>2172</v>
      </c>
      <c r="F238" s="265" t="s">
        <v>2173</v>
      </c>
      <c r="G238" s="266" t="s">
        <v>1901</v>
      </c>
      <c r="H238" s="267">
        <v>1</v>
      </c>
      <c r="I238" s="268"/>
      <c r="J238" s="269">
        <f t="shared" si="40"/>
        <v>0</v>
      </c>
      <c r="K238" s="270"/>
      <c r="L238" s="174"/>
      <c r="M238" s="271" t="s">
        <v>4</v>
      </c>
      <c r="N238" s="272" t="s">
        <v>1821</v>
      </c>
      <c r="P238" s="259">
        <f t="shared" si="41"/>
        <v>0</v>
      </c>
      <c r="Q238" s="259">
        <v>0</v>
      </c>
      <c r="R238" s="259">
        <f t="shared" si="42"/>
        <v>0</v>
      </c>
      <c r="S238" s="259">
        <v>0</v>
      </c>
      <c r="T238" s="260">
        <f t="shared" si="43"/>
        <v>0</v>
      </c>
      <c r="AR238" s="261" t="s">
        <v>127</v>
      </c>
      <c r="AT238" s="261" t="s">
        <v>1881</v>
      </c>
      <c r="AU238" s="261" t="s">
        <v>227</v>
      </c>
      <c r="AY238" s="167" t="s">
        <v>1873</v>
      </c>
      <c r="BE238" s="262">
        <f t="shared" si="44"/>
        <v>0</v>
      </c>
      <c r="BF238" s="262">
        <f t="shared" si="45"/>
        <v>0</v>
      </c>
      <c r="BG238" s="262">
        <f t="shared" si="46"/>
        <v>0</v>
      </c>
      <c r="BH238" s="262">
        <f t="shared" si="47"/>
        <v>0</v>
      </c>
      <c r="BI238" s="262">
        <f t="shared" si="48"/>
        <v>0</v>
      </c>
      <c r="BJ238" s="167" t="s">
        <v>219</v>
      </c>
      <c r="BK238" s="262">
        <f t="shared" si="49"/>
        <v>0</v>
      </c>
      <c r="BL238" s="167" t="s">
        <v>127</v>
      </c>
      <c r="BM238" s="261" t="s">
        <v>2174</v>
      </c>
    </row>
    <row r="239" spans="2:65" s="173" customFormat="1" ht="16.5" customHeight="1" x14ac:dyDescent="0.25">
      <c r="B239" s="247"/>
      <c r="C239" s="248" t="s">
        <v>513</v>
      </c>
      <c r="D239" s="248" t="s">
        <v>1876</v>
      </c>
      <c r="E239" s="249" t="s">
        <v>2175</v>
      </c>
      <c r="F239" s="250" t="s">
        <v>2176</v>
      </c>
      <c r="G239" s="251" t="s">
        <v>1901</v>
      </c>
      <c r="H239" s="252">
        <v>1</v>
      </c>
      <c r="I239" s="253"/>
      <c r="J239" s="254">
        <f t="shared" si="40"/>
        <v>0</v>
      </c>
      <c r="K239" s="255"/>
      <c r="L239" s="256"/>
      <c r="M239" s="257" t="s">
        <v>4</v>
      </c>
      <c r="N239" s="258" t="s">
        <v>1821</v>
      </c>
      <c r="P239" s="259">
        <f t="shared" si="41"/>
        <v>0</v>
      </c>
      <c r="Q239" s="259">
        <v>0</v>
      </c>
      <c r="R239" s="259">
        <f t="shared" si="42"/>
        <v>0</v>
      </c>
      <c r="S239" s="259">
        <v>0</v>
      </c>
      <c r="T239" s="260">
        <f t="shared" si="43"/>
        <v>0</v>
      </c>
      <c r="AR239" s="261" t="s">
        <v>1009</v>
      </c>
      <c r="AT239" s="261" t="s">
        <v>1876</v>
      </c>
      <c r="AU239" s="261" t="s">
        <v>227</v>
      </c>
      <c r="AY239" s="167" t="s">
        <v>1873</v>
      </c>
      <c r="BE239" s="262">
        <f t="shared" si="44"/>
        <v>0</v>
      </c>
      <c r="BF239" s="262">
        <f t="shared" si="45"/>
        <v>0</v>
      </c>
      <c r="BG239" s="262">
        <f t="shared" si="46"/>
        <v>0</v>
      </c>
      <c r="BH239" s="262">
        <f t="shared" si="47"/>
        <v>0</v>
      </c>
      <c r="BI239" s="262">
        <f t="shared" si="48"/>
        <v>0</v>
      </c>
      <c r="BJ239" s="167" t="s">
        <v>219</v>
      </c>
      <c r="BK239" s="262">
        <f t="shared" si="49"/>
        <v>0</v>
      </c>
      <c r="BL239" s="167" t="s">
        <v>127</v>
      </c>
      <c r="BM239" s="261" t="s">
        <v>2177</v>
      </c>
    </row>
    <row r="240" spans="2:65" s="173" customFormat="1" ht="33" customHeight="1" x14ac:dyDescent="0.25">
      <c r="B240" s="247"/>
      <c r="C240" s="263" t="s">
        <v>516</v>
      </c>
      <c r="D240" s="263" t="s">
        <v>1881</v>
      </c>
      <c r="E240" s="264" t="s">
        <v>2178</v>
      </c>
      <c r="F240" s="265" t="s">
        <v>2179</v>
      </c>
      <c r="G240" s="266" t="s">
        <v>333</v>
      </c>
      <c r="H240" s="267">
        <v>88</v>
      </c>
      <c r="I240" s="268"/>
      <c r="J240" s="269">
        <f t="shared" si="40"/>
        <v>0</v>
      </c>
      <c r="K240" s="270"/>
      <c r="L240" s="174"/>
      <c r="M240" s="271" t="s">
        <v>4</v>
      </c>
      <c r="N240" s="272" t="s">
        <v>1821</v>
      </c>
      <c r="P240" s="259">
        <f t="shared" si="41"/>
        <v>0</v>
      </c>
      <c r="Q240" s="259">
        <v>0</v>
      </c>
      <c r="R240" s="259">
        <f t="shared" si="42"/>
        <v>0</v>
      </c>
      <c r="S240" s="259">
        <v>0</v>
      </c>
      <c r="T240" s="260">
        <f t="shared" si="43"/>
        <v>0</v>
      </c>
      <c r="AR240" s="261" t="s">
        <v>127</v>
      </c>
      <c r="AT240" s="261" t="s">
        <v>1881</v>
      </c>
      <c r="AU240" s="261" t="s">
        <v>227</v>
      </c>
      <c r="AY240" s="167" t="s">
        <v>1873</v>
      </c>
      <c r="BE240" s="262">
        <f t="shared" si="44"/>
        <v>0</v>
      </c>
      <c r="BF240" s="262">
        <f t="shared" si="45"/>
        <v>0</v>
      </c>
      <c r="BG240" s="262">
        <f t="shared" si="46"/>
        <v>0</v>
      </c>
      <c r="BH240" s="262">
        <f t="shared" si="47"/>
        <v>0</v>
      </c>
      <c r="BI240" s="262">
        <f t="shared" si="48"/>
        <v>0</v>
      </c>
      <c r="BJ240" s="167" t="s">
        <v>219</v>
      </c>
      <c r="BK240" s="262">
        <f t="shared" si="49"/>
        <v>0</v>
      </c>
      <c r="BL240" s="167" t="s">
        <v>127</v>
      </c>
      <c r="BM240" s="261" t="s">
        <v>2180</v>
      </c>
    </row>
    <row r="241" spans="2:65" s="173" customFormat="1" ht="16.5" customHeight="1" x14ac:dyDescent="0.25">
      <c r="B241" s="247"/>
      <c r="C241" s="248" t="s">
        <v>519</v>
      </c>
      <c r="D241" s="248" t="s">
        <v>1876</v>
      </c>
      <c r="E241" s="249" t="s">
        <v>2181</v>
      </c>
      <c r="F241" s="250" t="s">
        <v>2182</v>
      </c>
      <c r="G241" s="251" t="s">
        <v>783</v>
      </c>
      <c r="H241" s="252">
        <v>80.08</v>
      </c>
      <c r="I241" s="253"/>
      <c r="J241" s="254">
        <f t="shared" si="40"/>
        <v>0</v>
      </c>
      <c r="K241" s="255"/>
      <c r="L241" s="256"/>
      <c r="M241" s="257" t="s">
        <v>4</v>
      </c>
      <c r="N241" s="258" t="s">
        <v>1821</v>
      </c>
      <c r="P241" s="259">
        <f t="shared" si="41"/>
        <v>0</v>
      </c>
      <c r="Q241" s="259">
        <v>1E-3</v>
      </c>
      <c r="R241" s="259">
        <f t="shared" si="42"/>
        <v>8.0079999999999998E-2</v>
      </c>
      <c r="S241" s="259">
        <v>0</v>
      </c>
      <c r="T241" s="260">
        <f t="shared" si="43"/>
        <v>0</v>
      </c>
      <c r="AR241" s="261" t="s">
        <v>611</v>
      </c>
      <c r="AT241" s="261" t="s">
        <v>1876</v>
      </c>
      <c r="AU241" s="261" t="s">
        <v>227</v>
      </c>
      <c r="AY241" s="167" t="s">
        <v>1873</v>
      </c>
      <c r="BE241" s="262">
        <f t="shared" si="44"/>
        <v>0</v>
      </c>
      <c r="BF241" s="262">
        <f t="shared" si="45"/>
        <v>0</v>
      </c>
      <c r="BG241" s="262">
        <f t="shared" si="46"/>
        <v>0</v>
      </c>
      <c r="BH241" s="262">
        <f t="shared" si="47"/>
        <v>0</v>
      </c>
      <c r="BI241" s="262">
        <f t="shared" si="48"/>
        <v>0</v>
      </c>
      <c r="BJ241" s="167" t="s">
        <v>219</v>
      </c>
      <c r="BK241" s="262">
        <f t="shared" si="49"/>
        <v>0</v>
      </c>
      <c r="BL241" s="167" t="s">
        <v>611</v>
      </c>
      <c r="BM241" s="261" t="s">
        <v>2183</v>
      </c>
    </row>
    <row r="242" spans="2:65" s="173" customFormat="1" ht="33" customHeight="1" x14ac:dyDescent="0.25">
      <c r="B242" s="247"/>
      <c r="C242" s="263" t="s">
        <v>522</v>
      </c>
      <c r="D242" s="263" t="s">
        <v>1881</v>
      </c>
      <c r="E242" s="264" t="s">
        <v>2184</v>
      </c>
      <c r="F242" s="265" t="s">
        <v>2185</v>
      </c>
      <c r="G242" s="266" t="s">
        <v>333</v>
      </c>
      <c r="H242" s="267">
        <v>35</v>
      </c>
      <c r="I242" s="268"/>
      <c r="J242" s="269">
        <f t="shared" si="40"/>
        <v>0</v>
      </c>
      <c r="K242" s="270"/>
      <c r="L242" s="174"/>
      <c r="M242" s="271" t="s">
        <v>4</v>
      </c>
      <c r="N242" s="272" t="s">
        <v>1821</v>
      </c>
      <c r="P242" s="259">
        <f t="shared" si="41"/>
        <v>0</v>
      </c>
      <c r="Q242" s="259">
        <v>0</v>
      </c>
      <c r="R242" s="259">
        <f t="shared" si="42"/>
        <v>0</v>
      </c>
      <c r="S242" s="259">
        <v>0</v>
      </c>
      <c r="T242" s="260">
        <f t="shared" si="43"/>
        <v>0</v>
      </c>
      <c r="AR242" s="261" t="s">
        <v>127</v>
      </c>
      <c r="AT242" s="261" t="s">
        <v>1881</v>
      </c>
      <c r="AU242" s="261" t="s">
        <v>227</v>
      </c>
      <c r="AY242" s="167" t="s">
        <v>1873</v>
      </c>
      <c r="BE242" s="262">
        <f t="shared" si="44"/>
        <v>0</v>
      </c>
      <c r="BF242" s="262">
        <f t="shared" si="45"/>
        <v>0</v>
      </c>
      <c r="BG242" s="262">
        <f t="shared" si="46"/>
        <v>0</v>
      </c>
      <c r="BH242" s="262">
        <f t="shared" si="47"/>
        <v>0</v>
      </c>
      <c r="BI242" s="262">
        <f t="shared" si="48"/>
        <v>0</v>
      </c>
      <c r="BJ242" s="167" t="s">
        <v>219</v>
      </c>
      <c r="BK242" s="262">
        <f t="shared" si="49"/>
        <v>0</v>
      </c>
      <c r="BL242" s="167" t="s">
        <v>127</v>
      </c>
      <c r="BM242" s="261" t="s">
        <v>2186</v>
      </c>
    </row>
    <row r="243" spans="2:65" s="173" customFormat="1" ht="16.5" customHeight="1" x14ac:dyDescent="0.25">
      <c r="B243" s="247"/>
      <c r="C243" s="248" t="s">
        <v>527</v>
      </c>
      <c r="D243" s="248" t="s">
        <v>1876</v>
      </c>
      <c r="E243" s="249" t="s">
        <v>2187</v>
      </c>
      <c r="F243" s="250" t="s">
        <v>2188</v>
      </c>
      <c r="G243" s="251" t="s">
        <v>783</v>
      </c>
      <c r="H243" s="252">
        <v>22.4</v>
      </c>
      <c r="I243" s="253"/>
      <c r="J243" s="254">
        <f t="shared" si="40"/>
        <v>0</v>
      </c>
      <c r="K243" s="255"/>
      <c r="L243" s="256"/>
      <c r="M243" s="257" t="s">
        <v>4</v>
      </c>
      <c r="N243" s="258" t="s">
        <v>1821</v>
      </c>
      <c r="P243" s="259">
        <f t="shared" si="41"/>
        <v>0</v>
      </c>
      <c r="Q243" s="259">
        <v>1E-3</v>
      </c>
      <c r="R243" s="259">
        <f t="shared" si="42"/>
        <v>2.24E-2</v>
      </c>
      <c r="S243" s="259">
        <v>0</v>
      </c>
      <c r="T243" s="260">
        <f t="shared" si="43"/>
        <v>0</v>
      </c>
      <c r="AR243" s="261" t="s">
        <v>611</v>
      </c>
      <c r="AT243" s="261" t="s">
        <v>1876</v>
      </c>
      <c r="AU243" s="261" t="s">
        <v>227</v>
      </c>
      <c r="AY243" s="167" t="s">
        <v>1873</v>
      </c>
      <c r="BE243" s="262">
        <f t="shared" si="44"/>
        <v>0</v>
      </c>
      <c r="BF243" s="262">
        <f t="shared" si="45"/>
        <v>0</v>
      </c>
      <c r="BG243" s="262">
        <f t="shared" si="46"/>
        <v>0</v>
      </c>
      <c r="BH243" s="262">
        <f t="shared" si="47"/>
        <v>0</v>
      </c>
      <c r="BI243" s="262">
        <f t="shared" si="48"/>
        <v>0</v>
      </c>
      <c r="BJ243" s="167" t="s">
        <v>219</v>
      </c>
      <c r="BK243" s="262">
        <f t="shared" si="49"/>
        <v>0</v>
      </c>
      <c r="BL243" s="167" t="s">
        <v>611</v>
      </c>
      <c r="BM243" s="261" t="s">
        <v>2189</v>
      </c>
    </row>
    <row r="244" spans="2:65" s="173" customFormat="1" ht="24.2" customHeight="1" x14ac:dyDescent="0.25">
      <c r="B244" s="247"/>
      <c r="C244" s="263" t="s">
        <v>530</v>
      </c>
      <c r="D244" s="263" t="s">
        <v>1881</v>
      </c>
      <c r="E244" s="264" t="s">
        <v>2190</v>
      </c>
      <c r="F244" s="265" t="s">
        <v>2191</v>
      </c>
      <c r="G244" s="266" t="s">
        <v>333</v>
      </c>
      <c r="H244" s="267">
        <v>138</v>
      </c>
      <c r="I244" s="268"/>
      <c r="J244" s="269">
        <f t="shared" si="40"/>
        <v>0</v>
      </c>
      <c r="K244" s="270"/>
      <c r="L244" s="174"/>
      <c r="M244" s="271" t="s">
        <v>4</v>
      </c>
      <c r="N244" s="272" t="s">
        <v>1821</v>
      </c>
      <c r="P244" s="259">
        <f t="shared" si="41"/>
        <v>0</v>
      </c>
      <c r="Q244" s="259">
        <v>0</v>
      </c>
      <c r="R244" s="259">
        <f t="shared" si="42"/>
        <v>0</v>
      </c>
      <c r="S244" s="259">
        <v>0</v>
      </c>
      <c r="T244" s="260">
        <f t="shared" si="43"/>
        <v>0</v>
      </c>
      <c r="AR244" s="261" t="s">
        <v>127</v>
      </c>
      <c r="AT244" s="261" t="s">
        <v>1881</v>
      </c>
      <c r="AU244" s="261" t="s">
        <v>227</v>
      </c>
      <c r="AY244" s="167" t="s">
        <v>1873</v>
      </c>
      <c r="BE244" s="262">
        <f t="shared" si="44"/>
        <v>0</v>
      </c>
      <c r="BF244" s="262">
        <f t="shared" si="45"/>
        <v>0</v>
      </c>
      <c r="BG244" s="262">
        <f t="shared" si="46"/>
        <v>0</v>
      </c>
      <c r="BH244" s="262">
        <f t="shared" si="47"/>
        <v>0</v>
      </c>
      <c r="BI244" s="262">
        <f t="shared" si="48"/>
        <v>0</v>
      </c>
      <c r="BJ244" s="167" t="s">
        <v>219</v>
      </c>
      <c r="BK244" s="262">
        <f t="shared" si="49"/>
        <v>0</v>
      </c>
      <c r="BL244" s="167" t="s">
        <v>127</v>
      </c>
      <c r="BM244" s="261" t="s">
        <v>2192</v>
      </c>
    </row>
    <row r="245" spans="2:65" s="173" customFormat="1" ht="16.5" customHeight="1" x14ac:dyDescent="0.25">
      <c r="B245" s="247"/>
      <c r="C245" s="248" t="s">
        <v>533</v>
      </c>
      <c r="D245" s="248" t="s">
        <v>1876</v>
      </c>
      <c r="E245" s="249" t="s">
        <v>2193</v>
      </c>
      <c r="F245" s="250" t="s">
        <v>2194</v>
      </c>
      <c r="G245" s="251" t="s">
        <v>783</v>
      </c>
      <c r="H245" s="252">
        <v>18.869</v>
      </c>
      <c r="I245" s="253"/>
      <c r="J245" s="254">
        <f t="shared" si="40"/>
        <v>0</v>
      </c>
      <c r="K245" s="255"/>
      <c r="L245" s="256"/>
      <c r="M245" s="257" t="s">
        <v>4</v>
      </c>
      <c r="N245" s="258" t="s">
        <v>1821</v>
      </c>
      <c r="P245" s="259">
        <f t="shared" si="41"/>
        <v>0</v>
      </c>
      <c r="Q245" s="259">
        <v>1E-3</v>
      </c>
      <c r="R245" s="259">
        <f t="shared" si="42"/>
        <v>1.8869E-2</v>
      </c>
      <c r="S245" s="259">
        <v>0</v>
      </c>
      <c r="T245" s="260">
        <f t="shared" si="43"/>
        <v>0</v>
      </c>
      <c r="AR245" s="261" t="s">
        <v>611</v>
      </c>
      <c r="AT245" s="261" t="s">
        <v>1876</v>
      </c>
      <c r="AU245" s="261" t="s">
        <v>227</v>
      </c>
      <c r="AY245" s="167" t="s">
        <v>1873</v>
      </c>
      <c r="BE245" s="262">
        <f t="shared" si="44"/>
        <v>0</v>
      </c>
      <c r="BF245" s="262">
        <f t="shared" si="45"/>
        <v>0</v>
      </c>
      <c r="BG245" s="262">
        <f t="shared" si="46"/>
        <v>0</v>
      </c>
      <c r="BH245" s="262">
        <f t="shared" si="47"/>
        <v>0</v>
      </c>
      <c r="BI245" s="262">
        <f t="shared" si="48"/>
        <v>0</v>
      </c>
      <c r="BJ245" s="167" t="s">
        <v>219</v>
      </c>
      <c r="BK245" s="262">
        <f t="shared" si="49"/>
        <v>0</v>
      </c>
      <c r="BL245" s="167" t="s">
        <v>611</v>
      </c>
      <c r="BM245" s="261" t="s">
        <v>2195</v>
      </c>
    </row>
    <row r="246" spans="2:65" s="173" customFormat="1" ht="33" customHeight="1" x14ac:dyDescent="0.25">
      <c r="B246" s="247"/>
      <c r="C246" s="248" t="s">
        <v>536</v>
      </c>
      <c r="D246" s="248" t="s">
        <v>1876</v>
      </c>
      <c r="E246" s="249" t="s">
        <v>2196</v>
      </c>
      <c r="F246" s="250" t="s">
        <v>2197</v>
      </c>
      <c r="G246" s="251" t="s">
        <v>1695</v>
      </c>
      <c r="H246" s="252">
        <v>48</v>
      </c>
      <c r="I246" s="253"/>
      <c r="J246" s="254">
        <f t="shared" si="40"/>
        <v>0</v>
      </c>
      <c r="K246" s="255"/>
      <c r="L246" s="256"/>
      <c r="M246" s="257" t="s">
        <v>4</v>
      </c>
      <c r="N246" s="258" t="s">
        <v>1821</v>
      </c>
      <c r="P246" s="259">
        <f t="shared" si="41"/>
        <v>0</v>
      </c>
      <c r="Q246" s="259">
        <v>0</v>
      </c>
      <c r="R246" s="259">
        <f t="shared" si="42"/>
        <v>0</v>
      </c>
      <c r="S246" s="259">
        <v>0</v>
      </c>
      <c r="T246" s="260">
        <f t="shared" si="43"/>
        <v>0</v>
      </c>
      <c r="AR246" s="261" t="s">
        <v>611</v>
      </c>
      <c r="AT246" s="261" t="s">
        <v>1876</v>
      </c>
      <c r="AU246" s="261" t="s">
        <v>227</v>
      </c>
      <c r="AY246" s="167" t="s">
        <v>1873</v>
      </c>
      <c r="BE246" s="262">
        <f t="shared" si="44"/>
        <v>0</v>
      </c>
      <c r="BF246" s="262">
        <f t="shared" si="45"/>
        <v>0</v>
      </c>
      <c r="BG246" s="262">
        <f t="shared" si="46"/>
        <v>0</v>
      </c>
      <c r="BH246" s="262">
        <f t="shared" si="47"/>
        <v>0</v>
      </c>
      <c r="BI246" s="262">
        <f t="shared" si="48"/>
        <v>0</v>
      </c>
      <c r="BJ246" s="167" t="s">
        <v>219</v>
      </c>
      <c r="BK246" s="262">
        <f t="shared" si="49"/>
        <v>0</v>
      </c>
      <c r="BL246" s="167" t="s">
        <v>611</v>
      </c>
      <c r="BM246" s="261" t="s">
        <v>2198</v>
      </c>
    </row>
    <row r="247" spans="2:65" s="173" customFormat="1" ht="24.2" customHeight="1" x14ac:dyDescent="0.25">
      <c r="B247" s="247"/>
      <c r="C247" s="263" t="s">
        <v>539</v>
      </c>
      <c r="D247" s="263" t="s">
        <v>1881</v>
      </c>
      <c r="E247" s="264" t="s">
        <v>2199</v>
      </c>
      <c r="F247" s="265" t="s">
        <v>2200</v>
      </c>
      <c r="G247" s="266" t="s">
        <v>329</v>
      </c>
      <c r="H247" s="267">
        <v>30</v>
      </c>
      <c r="I247" s="268"/>
      <c r="J247" s="269">
        <f t="shared" si="40"/>
        <v>0</v>
      </c>
      <c r="K247" s="270"/>
      <c r="L247" s="174"/>
      <c r="M247" s="271" t="s">
        <v>4</v>
      </c>
      <c r="N247" s="272" t="s">
        <v>1821</v>
      </c>
      <c r="P247" s="259">
        <f t="shared" si="41"/>
        <v>0</v>
      </c>
      <c r="Q247" s="259">
        <v>0</v>
      </c>
      <c r="R247" s="259">
        <f t="shared" si="42"/>
        <v>0</v>
      </c>
      <c r="S247" s="259">
        <v>0</v>
      </c>
      <c r="T247" s="260">
        <f t="shared" si="43"/>
        <v>0</v>
      </c>
      <c r="AR247" s="261" t="s">
        <v>127</v>
      </c>
      <c r="AT247" s="261" t="s">
        <v>1881</v>
      </c>
      <c r="AU247" s="261" t="s">
        <v>227</v>
      </c>
      <c r="AY247" s="167" t="s">
        <v>1873</v>
      </c>
      <c r="BE247" s="262">
        <f t="shared" si="44"/>
        <v>0</v>
      </c>
      <c r="BF247" s="262">
        <f t="shared" si="45"/>
        <v>0</v>
      </c>
      <c r="BG247" s="262">
        <f t="shared" si="46"/>
        <v>0</v>
      </c>
      <c r="BH247" s="262">
        <f t="shared" si="47"/>
        <v>0</v>
      </c>
      <c r="BI247" s="262">
        <f t="shared" si="48"/>
        <v>0</v>
      </c>
      <c r="BJ247" s="167" t="s">
        <v>219</v>
      </c>
      <c r="BK247" s="262">
        <f t="shared" si="49"/>
        <v>0</v>
      </c>
      <c r="BL247" s="167" t="s">
        <v>127</v>
      </c>
      <c r="BM247" s="261" t="s">
        <v>2201</v>
      </c>
    </row>
    <row r="248" spans="2:65" s="173" customFormat="1" ht="16.5" customHeight="1" x14ac:dyDescent="0.25">
      <c r="B248" s="247"/>
      <c r="C248" s="248" t="s">
        <v>543</v>
      </c>
      <c r="D248" s="248" t="s">
        <v>1876</v>
      </c>
      <c r="E248" s="249" t="s">
        <v>2202</v>
      </c>
      <c r="F248" s="250" t="s">
        <v>2203</v>
      </c>
      <c r="G248" s="251" t="s">
        <v>1695</v>
      </c>
      <c r="H248" s="252">
        <v>30</v>
      </c>
      <c r="I248" s="253"/>
      <c r="J248" s="254">
        <f t="shared" si="40"/>
        <v>0</v>
      </c>
      <c r="K248" s="255"/>
      <c r="L248" s="256"/>
      <c r="M248" s="257" t="s">
        <v>4</v>
      </c>
      <c r="N248" s="258" t="s">
        <v>1821</v>
      </c>
      <c r="P248" s="259">
        <f t="shared" si="41"/>
        <v>0</v>
      </c>
      <c r="Q248" s="259">
        <v>0</v>
      </c>
      <c r="R248" s="259">
        <f t="shared" si="42"/>
        <v>0</v>
      </c>
      <c r="S248" s="259">
        <v>0</v>
      </c>
      <c r="T248" s="260">
        <f t="shared" si="43"/>
        <v>0</v>
      </c>
      <c r="AR248" s="261" t="s">
        <v>611</v>
      </c>
      <c r="AT248" s="261" t="s">
        <v>1876</v>
      </c>
      <c r="AU248" s="261" t="s">
        <v>227</v>
      </c>
      <c r="AY248" s="167" t="s">
        <v>1873</v>
      </c>
      <c r="BE248" s="262">
        <f t="shared" si="44"/>
        <v>0</v>
      </c>
      <c r="BF248" s="262">
        <f t="shared" si="45"/>
        <v>0</v>
      </c>
      <c r="BG248" s="262">
        <f t="shared" si="46"/>
        <v>0</v>
      </c>
      <c r="BH248" s="262">
        <f t="shared" si="47"/>
        <v>0</v>
      </c>
      <c r="BI248" s="262">
        <f t="shared" si="48"/>
        <v>0</v>
      </c>
      <c r="BJ248" s="167" t="s">
        <v>219</v>
      </c>
      <c r="BK248" s="262">
        <f t="shared" si="49"/>
        <v>0</v>
      </c>
      <c r="BL248" s="167" t="s">
        <v>611</v>
      </c>
      <c r="BM248" s="261" t="s">
        <v>2204</v>
      </c>
    </row>
    <row r="249" spans="2:65" s="173" customFormat="1" ht="24.2" customHeight="1" x14ac:dyDescent="0.25">
      <c r="B249" s="247"/>
      <c r="C249" s="263" t="s">
        <v>546</v>
      </c>
      <c r="D249" s="263" t="s">
        <v>1881</v>
      </c>
      <c r="E249" s="264" t="s">
        <v>2199</v>
      </c>
      <c r="F249" s="265" t="s">
        <v>2200</v>
      </c>
      <c r="G249" s="266" t="s">
        <v>329</v>
      </c>
      <c r="H249" s="267">
        <v>85</v>
      </c>
      <c r="I249" s="268"/>
      <c r="J249" s="269">
        <f t="shared" si="40"/>
        <v>0</v>
      </c>
      <c r="K249" s="270"/>
      <c r="L249" s="174"/>
      <c r="M249" s="271" t="s">
        <v>4</v>
      </c>
      <c r="N249" s="272" t="s">
        <v>1821</v>
      </c>
      <c r="P249" s="259">
        <f t="shared" si="41"/>
        <v>0</v>
      </c>
      <c r="Q249" s="259">
        <v>0</v>
      </c>
      <c r="R249" s="259">
        <f t="shared" si="42"/>
        <v>0</v>
      </c>
      <c r="S249" s="259">
        <v>0</v>
      </c>
      <c r="T249" s="260">
        <f t="shared" si="43"/>
        <v>0</v>
      </c>
      <c r="AR249" s="261" t="s">
        <v>127</v>
      </c>
      <c r="AT249" s="261" t="s">
        <v>1881</v>
      </c>
      <c r="AU249" s="261" t="s">
        <v>227</v>
      </c>
      <c r="AY249" s="167" t="s">
        <v>1873</v>
      </c>
      <c r="BE249" s="262">
        <f t="shared" si="44"/>
        <v>0</v>
      </c>
      <c r="BF249" s="262">
        <f t="shared" si="45"/>
        <v>0</v>
      </c>
      <c r="BG249" s="262">
        <f t="shared" si="46"/>
        <v>0</v>
      </c>
      <c r="BH249" s="262">
        <f t="shared" si="47"/>
        <v>0</v>
      </c>
      <c r="BI249" s="262">
        <f t="shared" si="48"/>
        <v>0</v>
      </c>
      <c r="BJ249" s="167" t="s">
        <v>219</v>
      </c>
      <c r="BK249" s="262">
        <f t="shared" si="49"/>
        <v>0</v>
      </c>
      <c r="BL249" s="167" t="s">
        <v>127</v>
      </c>
      <c r="BM249" s="261" t="s">
        <v>2205</v>
      </c>
    </row>
    <row r="250" spans="2:65" s="173" customFormat="1" ht="16.5" customHeight="1" x14ac:dyDescent="0.25">
      <c r="B250" s="247"/>
      <c r="C250" s="248" t="s">
        <v>549</v>
      </c>
      <c r="D250" s="248" t="s">
        <v>1876</v>
      </c>
      <c r="E250" s="249" t="s">
        <v>2206</v>
      </c>
      <c r="F250" s="250" t="s">
        <v>2207</v>
      </c>
      <c r="G250" s="251" t="s">
        <v>329</v>
      </c>
      <c r="H250" s="252">
        <v>85</v>
      </c>
      <c r="I250" s="253"/>
      <c r="J250" s="254">
        <f t="shared" si="40"/>
        <v>0</v>
      </c>
      <c r="K250" s="255"/>
      <c r="L250" s="256"/>
      <c r="M250" s="257" t="s">
        <v>4</v>
      </c>
      <c r="N250" s="258" t="s">
        <v>1821</v>
      </c>
      <c r="P250" s="259">
        <f t="shared" si="41"/>
        <v>0</v>
      </c>
      <c r="Q250" s="259">
        <v>2.3000000000000001E-4</v>
      </c>
      <c r="R250" s="259">
        <f t="shared" si="42"/>
        <v>1.9550000000000001E-2</v>
      </c>
      <c r="S250" s="259">
        <v>0</v>
      </c>
      <c r="T250" s="260">
        <f t="shared" si="43"/>
        <v>0</v>
      </c>
      <c r="AR250" s="261" t="s">
        <v>611</v>
      </c>
      <c r="AT250" s="261" t="s">
        <v>1876</v>
      </c>
      <c r="AU250" s="261" t="s">
        <v>227</v>
      </c>
      <c r="AY250" s="167" t="s">
        <v>1873</v>
      </c>
      <c r="BE250" s="262">
        <f t="shared" si="44"/>
        <v>0</v>
      </c>
      <c r="BF250" s="262">
        <f t="shared" si="45"/>
        <v>0</v>
      </c>
      <c r="BG250" s="262">
        <f t="shared" si="46"/>
        <v>0</v>
      </c>
      <c r="BH250" s="262">
        <f t="shared" si="47"/>
        <v>0</v>
      </c>
      <c r="BI250" s="262">
        <f t="shared" si="48"/>
        <v>0</v>
      </c>
      <c r="BJ250" s="167" t="s">
        <v>219</v>
      </c>
      <c r="BK250" s="262">
        <f t="shared" si="49"/>
        <v>0</v>
      </c>
      <c r="BL250" s="167" t="s">
        <v>611</v>
      </c>
      <c r="BM250" s="261" t="s">
        <v>2208</v>
      </c>
    </row>
    <row r="251" spans="2:65" s="173" customFormat="1" ht="24.2" customHeight="1" x14ac:dyDescent="0.25">
      <c r="B251" s="247"/>
      <c r="C251" s="263" t="s">
        <v>552</v>
      </c>
      <c r="D251" s="263" t="s">
        <v>1881</v>
      </c>
      <c r="E251" s="264" t="s">
        <v>2209</v>
      </c>
      <c r="F251" s="265" t="s">
        <v>2210</v>
      </c>
      <c r="G251" s="266" t="s">
        <v>329</v>
      </c>
      <c r="H251" s="267">
        <v>8</v>
      </c>
      <c r="I251" s="268"/>
      <c r="J251" s="269">
        <f t="shared" si="40"/>
        <v>0</v>
      </c>
      <c r="K251" s="270"/>
      <c r="L251" s="174"/>
      <c r="M251" s="271" t="s">
        <v>4</v>
      </c>
      <c r="N251" s="272" t="s">
        <v>1821</v>
      </c>
      <c r="P251" s="259">
        <f t="shared" si="41"/>
        <v>0</v>
      </c>
      <c r="Q251" s="259">
        <v>0</v>
      </c>
      <c r="R251" s="259">
        <f t="shared" si="42"/>
        <v>0</v>
      </c>
      <c r="S251" s="259">
        <v>0</v>
      </c>
      <c r="T251" s="260">
        <f t="shared" si="43"/>
        <v>0</v>
      </c>
      <c r="AR251" s="261" t="s">
        <v>127</v>
      </c>
      <c r="AT251" s="261" t="s">
        <v>1881</v>
      </c>
      <c r="AU251" s="261" t="s">
        <v>227</v>
      </c>
      <c r="AY251" s="167" t="s">
        <v>1873</v>
      </c>
      <c r="BE251" s="262">
        <f t="shared" si="44"/>
        <v>0</v>
      </c>
      <c r="BF251" s="262">
        <f t="shared" si="45"/>
        <v>0</v>
      </c>
      <c r="BG251" s="262">
        <f t="shared" si="46"/>
        <v>0</v>
      </c>
      <c r="BH251" s="262">
        <f t="shared" si="47"/>
        <v>0</v>
      </c>
      <c r="BI251" s="262">
        <f t="shared" si="48"/>
        <v>0</v>
      </c>
      <c r="BJ251" s="167" t="s">
        <v>219</v>
      </c>
      <c r="BK251" s="262">
        <f t="shared" si="49"/>
        <v>0</v>
      </c>
      <c r="BL251" s="167" t="s">
        <v>127</v>
      </c>
      <c r="BM251" s="261" t="s">
        <v>2211</v>
      </c>
    </row>
    <row r="252" spans="2:65" s="173" customFormat="1" ht="16.5" customHeight="1" x14ac:dyDescent="0.25">
      <c r="B252" s="247"/>
      <c r="C252" s="248" t="s">
        <v>555</v>
      </c>
      <c r="D252" s="248" t="s">
        <v>1876</v>
      </c>
      <c r="E252" s="249" t="s">
        <v>2212</v>
      </c>
      <c r="F252" s="250" t="s">
        <v>2213</v>
      </c>
      <c r="G252" s="251" t="s">
        <v>329</v>
      </c>
      <c r="H252" s="252">
        <v>8</v>
      </c>
      <c r="I252" s="253"/>
      <c r="J252" s="254">
        <f t="shared" si="40"/>
        <v>0</v>
      </c>
      <c r="K252" s="255"/>
      <c r="L252" s="256"/>
      <c r="M252" s="257" t="s">
        <v>4</v>
      </c>
      <c r="N252" s="258" t="s">
        <v>1821</v>
      </c>
      <c r="P252" s="259">
        <f t="shared" si="41"/>
        <v>0</v>
      </c>
      <c r="Q252" s="259">
        <v>1.6000000000000001E-4</v>
      </c>
      <c r="R252" s="259">
        <f t="shared" si="42"/>
        <v>1.2800000000000001E-3</v>
      </c>
      <c r="S252" s="259">
        <v>0</v>
      </c>
      <c r="T252" s="260">
        <f t="shared" si="43"/>
        <v>0</v>
      </c>
      <c r="AR252" s="261" t="s">
        <v>611</v>
      </c>
      <c r="AT252" s="261" t="s">
        <v>1876</v>
      </c>
      <c r="AU252" s="261" t="s">
        <v>227</v>
      </c>
      <c r="AY252" s="167" t="s">
        <v>1873</v>
      </c>
      <c r="BE252" s="262">
        <f t="shared" si="44"/>
        <v>0</v>
      </c>
      <c r="BF252" s="262">
        <f t="shared" si="45"/>
        <v>0</v>
      </c>
      <c r="BG252" s="262">
        <f t="shared" si="46"/>
        <v>0</v>
      </c>
      <c r="BH252" s="262">
        <f t="shared" si="47"/>
        <v>0</v>
      </c>
      <c r="BI252" s="262">
        <f t="shared" si="48"/>
        <v>0</v>
      </c>
      <c r="BJ252" s="167" t="s">
        <v>219</v>
      </c>
      <c r="BK252" s="262">
        <f t="shared" si="49"/>
        <v>0</v>
      </c>
      <c r="BL252" s="167" t="s">
        <v>611</v>
      </c>
      <c r="BM252" s="261" t="s">
        <v>2214</v>
      </c>
    </row>
    <row r="253" spans="2:65" s="173" customFormat="1" ht="24.2" customHeight="1" x14ac:dyDescent="0.25">
      <c r="B253" s="247"/>
      <c r="C253" s="263" t="s">
        <v>558</v>
      </c>
      <c r="D253" s="263" t="s">
        <v>1881</v>
      </c>
      <c r="E253" s="264" t="s">
        <v>2209</v>
      </c>
      <c r="F253" s="265" t="s">
        <v>2210</v>
      </c>
      <c r="G253" s="266" t="s">
        <v>329</v>
      </c>
      <c r="H253" s="267">
        <v>4</v>
      </c>
      <c r="I253" s="268"/>
      <c r="J253" s="269">
        <f t="shared" si="40"/>
        <v>0</v>
      </c>
      <c r="K253" s="270"/>
      <c r="L253" s="174"/>
      <c r="M253" s="271" t="s">
        <v>4</v>
      </c>
      <c r="N253" s="272" t="s">
        <v>1821</v>
      </c>
      <c r="P253" s="259">
        <f t="shared" si="41"/>
        <v>0</v>
      </c>
      <c r="Q253" s="259">
        <v>0</v>
      </c>
      <c r="R253" s="259">
        <f t="shared" si="42"/>
        <v>0</v>
      </c>
      <c r="S253" s="259">
        <v>0</v>
      </c>
      <c r="T253" s="260">
        <f t="shared" si="43"/>
        <v>0</v>
      </c>
      <c r="AR253" s="261" t="s">
        <v>127</v>
      </c>
      <c r="AT253" s="261" t="s">
        <v>1881</v>
      </c>
      <c r="AU253" s="261" t="s">
        <v>227</v>
      </c>
      <c r="AY253" s="167" t="s">
        <v>1873</v>
      </c>
      <c r="BE253" s="262">
        <f t="shared" si="44"/>
        <v>0</v>
      </c>
      <c r="BF253" s="262">
        <f t="shared" si="45"/>
        <v>0</v>
      </c>
      <c r="BG253" s="262">
        <f t="shared" si="46"/>
        <v>0</v>
      </c>
      <c r="BH253" s="262">
        <f t="shared" si="47"/>
        <v>0</v>
      </c>
      <c r="BI253" s="262">
        <f t="shared" si="48"/>
        <v>0</v>
      </c>
      <c r="BJ253" s="167" t="s">
        <v>219</v>
      </c>
      <c r="BK253" s="262">
        <f t="shared" si="49"/>
        <v>0</v>
      </c>
      <c r="BL253" s="167" t="s">
        <v>127</v>
      </c>
      <c r="BM253" s="261" t="s">
        <v>2215</v>
      </c>
    </row>
    <row r="254" spans="2:65" s="173" customFormat="1" ht="16.5" customHeight="1" x14ac:dyDescent="0.25">
      <c r="B254" s="247"/>
      <c r="C254" s="248" t="s">
        <v>561</v>
      </c>
      <c r="D254" s="248" t="s">
        <v>1876</v>
      </c>
      <c r="E254" s="249" t="s">
        <v>2216</v>
      </c>
      <c r="F254" s="250" t="s">
        <v>2217</v>
      </c>
      <c r="G254" s="251" t="s">
        <v>329</v>
      </c>
      <c r="H254" s="252">
        <v>4</v>
      </c>
      <c r="I254" s="253"/>
      <c r="J254" s="254">
        <f t="shared" si="40"/>
        <v>0</v>
      </c>
      <c r="K254" s="255"/>
      <c r="L254" s="256"/>
      <c r="M254" s="257" t="s">
        <v>4</v>
      </c>
      <c r="N254" s="258" t="s">
        <v>1821</v>
      </c>
      <c r="P254" s="259">
        <f t="shared" si="41"/>
        <v>0</v>
      </c>
      <c r="Q254" s="259">
        <v>1.6000000000000001E-4</v>
      </c>
      <c r="R254" s="259">
        <f t="shared" si="42"/>
        <v>6.4000000000000005E-4</v>
      </c>
      <c r="S254" s="259">
        <v>0</v>
      </c>
      <c r="T254" s="260">
        <f t="shared" si="43"/>
        <v>0</v>
      </c>
      <c r="AR254" s="261" t="s">
        <v>611</v>
      </c>
      <c r="AT254" s="261" t="s">
        <v>1876</v>
      </c>
      <c r="AU254" s="261" t="s">
        <v>227</v>
      </c>
      <c r="AY254" s="167" t="s">
        <v>1873</v>
      </c>
      <c r="BE254" s="262">
        <f t="shared" si="44"/>
        <v>0</v>
      </c>
      <c r="BF254" s="262">
        <f t="shared" si="45"/>
        <v>0</v>
      </c>
      <c r="BG254" s="262">
        <f t="shared" si="46"/>
        <v>0</v>
      </c>
      <c r="BH254" s="262">
        <f t="shared" si="47"/>
        <v>0</v>
      </c>
      <c r="BI254" s="262">
        <f t="shared" si="48"/>
        <v>0</v>
      </c>
      <c r="BJ254" s="167" t="s">
        <v>219</v>
      </c>
      <c r="BK254" s="262">
        <f t="shared" si="49"/>
        <v>0</v>
      </c>
      <c r="BL254" s="167" t="s">
        <v>611</v>
      </c>
      <c r="BM254" s="261" t="s">
        <v>2218</v>
      </c>
    </row>
    <row r="255" spans="2:65" s="173" customFormat="1" ht="24.2" customHeight="1" x14ac:dyDescent="0.25">
      <c r="B255" s="247"/>
      <c r="C255" s="263" t="s">
        <v>564</v>
      </c>
      <c r="D255" s="263" t="s">
        <v>1881</v>
      </c>
      <c r="E255" s="264" t="s">
        <v>2209</v>
      </c>
      <c r="F255" s="265" t="s">
        <v>2210</v>
      </c>
      <c r="G255" s="266" t="s">
        <v>329</v>
      </c>
      <c r="H255" s="267">
        <v>6</v>
      </c>
      <c r="I255" s="268"/>
      <c r="J255" s="269">
        <f t="shared" si="40"/>
        <v>0</v>
      </c>
      <c r="K255" s="270"/>
      <c r="L255" s="174"/>
      <c r="M255" s="271" t="s">
        <v>4</v>
      </c>
      <c r="N255" s="272" t="s">
        <v>1821</v>
      </c>
      <c r="P255" s="259">
        <f t="shared" si="41"/>
        <v>0</v>
      </c>
      <c r="Q255" s="259">
        <v>0</v>
      </c>
      <c r="R255" s="259">
        <f t="shared" si="42"/>
        <v>0</v>
      </c>
      <c r="S255" s="259">
        <v>0</v>
      </c>
      <c r="T255" s="260">
        <f t="shared" si="43"/>
        <v>0</v>
      </c>
      <c r="AR255" s="261" t="s">
        <v>127</v>
      </c>
      <c r="AT255" s="261" t="s">
        <v>1881</v>
      </c>
      <c r="AU255" s="261" t="s">
        <v>227</v>
      </c>
      <c r="AY255" s="167" t="s">
        <v>1873</v>
      </c>
      <c r="BE255" s="262">
        <f t="shared" si="44"/>
        <v>0</v>
      </c>
      <c r="BF255" s="262">
        <f t="shared" si="45"/>
        <v>0</v>
      </c>
      <c r="BG255" s="262">
        <f t="shared" si="46"/>
        <v>0</v>
      </c>
      <c r="BH255" s="262">
        <f t="shared" si="47"/>
        <v>0</v>
      </c>
      <c r="BI255" s="262">
        <f t="shared" si="48"/>
        <v>0</v>
      </c>
      <c r="BJ255" s="167" t="s">
        <v>219</v>
      </c>
      <c r="BK255" s="262">
        <f t="shared" si="49"/>
        <v>0</v>
      </c>
      <c r="BL255" s="167" t="s">
        <v>127</v>
      </c>
      <c r="BM255" s="261" t="s">
        <v>2219</v>
      </c>
    </row>
    <row r="256" spans="2:65" s="173" customFormat="1" ht="21.75" customHeight="1" x14ac:dyDescent="0.25">
      <c r="B256" s="247"/>
      <c r="C256" s="248" t="s">
        <v>567</v>
      </c>
      <c r="D256" s="248" t="s">
        <v>1876</v>
      </c>
      <c r="E256" s="249" t="s">
        <v>2220</v>
      </c>
      <c r="F256" s="250" t="s">
        <v>2221</v>
      </c>
      <c r="G256" s="251" t="s">
        <v>329</v>
      </c>
      <c r="H256" s="252">
        <v>6</v>
      </c>
      <c r="I256" s="253"/>
      <c r="J256" s="254">
        <f t="shared" si="40"/>
        <v>0</v>
      </c>
      <c r="K256" s="255"/>
      <c r="L256" s="256"/>
      <c r="M256" s="257" t="s">
        <v>4</v>
      </c>
      <c r="N256" s="258" t="s">
        <v>1821</v>
      </c>
      <c r="P256" s="259">
        <f t="shared" si="41"/>
        <v>0</v>
      </c>
      <c r="Q256" s="259">
        <v>2.0000000000000001E-4</v>
      </c>
      <c r="R256" s="259">
        <f t="shared" si="42"/>
        <v>1.2000000000000001E-3</v>
      </c>
      <c r="S256" s="259">
        <v>0</v>
      </c>
      <c r="T256" s="260">
        <f t="shared" si="43"/>
        <v>0</v>
      </c>
      <c r="AR256" s="261" t="s">
        <v>611</v>
      </c>
      <c r="AT256" s="261" t="s">
        <v>1876</v>
      </c>
      <c r="AU256" s="261" t="s">
        <v>227</v>
      </c>
      <c r="AY256" s="167" t="s">
        <v>1873</v>
      </c>
      <c r="BE256" s="262">
        <f t="shared" si="44"/>
        <v>0</v>
      </c>
      <c r="BF256" s="262">
        <f t="shared" si="45"/>
        <v>0</v>
      </c>
      <c r="BG256" s="262">
        <f t="shared" si="46"/>
        <v>0</v>
      </c>
      <c r="BH256" s="262">
        <f t="shared" si="47"/>
        <v>0</v>
      </c>
      <c r="BI256" s="262">
        <f t="shared" si="48"/>
        <v>0</v>
      </c>
      <c r="BJ256" s="167" t="s">
        <v>219</v>
      </c>
      <c r="BK256" s="262">
        <f t="shared" si="49"/>
        <v>0</v>
      </c>
      <c r="BL256" s="167" t="s">
        <v>611</v>
      </c>
      <c r="BM256" s="261" t="s">
        <v>2222</v>
      </c>
    </row>
    <row r="257" spans="2:65" s="173" customFormat="1" ht="24.2" customHeight="1" x14ac:dyDescent="0.25">
      <c r="B257" s="247"/>
      <c r="C257" s="263" t="s">
        <v>570</v>
      </c>
      <c r="D257" s="263" t="s">
        <v>1881</v>
      </c>
      <c r="E257" s="264" t="s">
        <v>2223</v>
      </c>
      <c r="F257" s="265" t="s">
        <v>2210</v>
      </c>
      <c r="G257" s="266" t="s">
        <v>329</v>
      </c>
      <c r="H257" s="267">
        <v>24</v>
      </c>
      <c r="I257" s="268"/>
      <c r="J257" s="269">
        <f t="shared" si="40"/>
        <v>0</v>
      </c>
      <c r="K257" s="270"/>
      <c r="L257" s="174"/>
      <c r="M257" s="271" t="s">
        <v>4</v>
      </c>
      <c r="N257" s="272" t="s">
        <v>1821</v>
      </c>
      <c r="P257" s="259">
        <f t="shared" si="41"/>
        <v>0</v>
      </c>
      <c r="Q257" s="259">
        <v>0</v>
      </c>
      <c r="R257" s="259">
        <f t="shared" si="42"/>
        <v>0</v>
      </c>
      <c r="S257" s="259">
        <v>0</v>
      </c>
      <c r="T257" s="260">
        <f t="shared" si="43"/>
        <v>0</v>
      </c>
      <c r="AR257" s="261" t="s">
        <v>127</v>
      </c>
      <c r="AT257" s="261" t="s">
        <v>1881</v>
      </c>
      <c r="AU257" s="261" t="s">
        <v>227</v>
      </c>
      <c r="AY257" s="167" t="s">
        <v>1873</v>
      </c>
      <c r="BE257" s="262">
        <f t="shared" si="44"/>
        <v>0</v>
      </c>
      <c r="BF257" s="262">
        <f t="shared" si="45"/>
        <v>0</v>
      </c>
      <c r="BG257" s="262">
        <f t="shared" si="46"/>
        <v>0</v>
      </c>
      <c r="BH257" s="262">
        <f t="shared" si="47"/>
        <v>0</v>
      </c>
      <c r="BI257" s="262">
        <f t="shared" si="48"/>
        <v>0</v>
      </c>
      <c r="BJ257" s="167" t="s">
        <v>219</v>
      </c>
      <c r="BK257" s="262">
        <f t="shared" si="49"/>
        <v>0</v>
      </c>
      <c r="BL257" s="167" t="s">
        <v>127</v>
      </c>
      <c r="BM257" s="261" t="s">
        <v>2224</v>
      </c>
    </row>
    <row r="258" spans="2:65" s="173" customFormat="1" ht="24.2" customHeight="1" x14ac:dyDescent="0.25">
      <c r="B258" s="247"/>
      <c r="C258" s="248" t="s">
        <v>573</v>
      </c>
      <c r="D258" s="248" t="s">
        <v>1876</v>
      </c>
      <c r="E258" s="249" t="s">
        <v>2225</v>
      </c>
      <c r="F258" s="250" t="s">
        <v>2226</v>
      </c>
      <c r="G258" s="251" t="s">
        <v>329</v>
      </c>
      <c r="H258" s="252">
        <v>12</v>
      </c>
      <c r="I258" s="253"/>
      <c r="J258" s="254">
        <f t="shared" si="40"/>
        <v>0</v>
      </c>
      <c r="K258" s="255"/>
      <c r="L258" s="256"/>
      <c r="M258" s="257" t="s">
        <v>4</v>
      </c>
      <c r="N258" s="258" t="s">
        <v>1821</v>
      </c>
      <c r="P258" s="259">
        <f t="shared" si="41"/>
        <v>0</v>
      </c>
      <c r="Q258" s="259">
        <v>2.5999999999999998E-4</v>
      </c>
      <c r="R258" s="259">
        <f t="shared" si="42"/>
        <v>3.1199999999999995E-3</v>
      </c>
      <c r="S258" s="259">
        <v>0</v>
      </c>
      <c r="T258" s="260">
        <f t="shared" si="43"/>
        <v>0</v>
      </c>
      <c r="AR258" s="261" t="s">
        <v>611</v>
      </c>
      <c r="AT258" s="261" t="s">
        <v>1876</v>
      </c>
      <c r="AU258" s="261" t="s">
        <v>227</v>
      </c>
      <c r="AY258" s="167" t="s">
        <v>1873</v>
      </c>
      <c r="BE258" s="262">
        <f t="shared" si="44"/>
        <v>0</v>
      </c>
      <c r="BF258" s="262">
        <f t="shared" si="45"/>
        <v>0</v>
      </c>
      <c r="BG258" s="262">
        <f t="shared" si="46"/>
        <v>0</v>
      </c>
      <c r="BH258" s="262">
        <f t="shared" si="47"/>
        <v>0</v>
      </c>
      <c r="BI258" s="262">
        <f t="shared" si="48"/>
        <v>0</v>
      </c>
      <c r="BJ258" s="167" t="s">
        <v>219</v>
      </c>
      <c r="BK258" s="262">
        <f t="shared" si="49"/>
        <v>0</v>
      </c>
      <c r="BL258" s="167" t="s">
        <v>611</v>
      </c>
      <c r="BM258" s="261" t="s">
        <v>2227</v>
      </c>
    </row>
    <row r="259" spans="2:65" s="173" customFormat="1" ht="33" customHeight="1" x14ac:dyDescent="0.25">
      <c r="B259" s="247"/>
      <c r="C259" s="248" t="s">
        <v>578</v>
      </c>
      <c r="D259" s="248" t="s">
        <v>1876</v>
      </c>
      <c r="E259" s="249" t="s">
        <v>2228</v>
      </c>
      <c r="F259" s="250" t="s">
        <v>2229</v>
      </c>
      <c r="G259" s="251" t="s">
        <v>329</v>
      </c>
      <c r="H259" s="252">
        <v>12</v>
      </c>
      <c r="I259" s="253"/>
      <c r="J259" s="254">
        <f t="shared" si="40"/>
        <v>0</v>
      </c>
      <c r="K259" s="255"/>
      <c r="L259" s="256"/>
      <c r="M259" s="257" t="s">
        <v>4</v>
      </c>
      <c r="N259" s="258" t="s">
        <v>1821</v>
      </c>
      <c r="P259" s="259">
        <f t="shared" si="41"/>
        <v>0</v>
      </c>
      <c r="Q259" s="259">
        <v>6.9999999999999999E-4</v>
      </c>
      <c r="R259" s="259">
        <f t="shared" si="42"/>
        <v>8.3999999999999995E-3</v>
      </c>
      <c r="S259" s="259">
        <v>0</v>
      </c>
      <c r="T259" s="260">
        <f t="shared" si="43"/>
        <v>0</v>
      </c>
      <c r="AR259" s="261" t="s">
        <v>611</v>
      </c>
      <c r="AT259" s="261" t="s">
        <v>1876</v>
      </c>
      <c r="AU259" s="261" t="s">
        <v>227</v>
      </c>
      <c r="AY259" s="167" t="s">
        <v>1873</v>
      </c>
      <c r="BE259" s="262">
        <f t="shared" si="44"/>
        <v>0</v>
      </c>
      <c r="BF259" s="262">
        <f t="shared" si="45"/>
        <v>0</v>
      </c>
      <c r="BG259" s="262">
        <f t="shared" si="46"/>
        <v>0</v>
      </c>
      <c r="BH259" s="262">
        <f t="shared" si="47"/>
        <v>0</v>
      </c>
      <c r="BI259" s="262">
        <f t="shared" si="48"/>
        <v>0</v>
      </c>
      <c r="BJ259" s="167" t="s">
        <v>219</v>
      </c>
      <c r="BK259" s="262">
        <f t="shared" si="49"/>
        <v>0</v>
      </c>
      <c r="BL259" s="167" t="s">
        <v>611</v>
      </c>
      <c r="BM259" s="261" t="s">
        <v>2230</v>
      </c>
    </row>
    <row r="260" spans="2:65" s="173" customFormat="1" ht="24.2" customHeight="1" x14ac:dyDescent="0.25">
      <c r="B260" s="247"/>
      <c r="C260" s="263" t="s">
        <v>581</v>
      </c>
      <c r="D260" s="263" t="s">
        <v>1881</v>
      </c>
      <c r="E260" s="264" t="s">
        <v>2231</v>
      </c>
      <c r="F260" s="265" t="s">
        <v>2232</v>
      </c>
      <c r="G260" s="266" t="s">
        <v>329</v>
      </c>
      <c r="H260" s="267">
        <v>5</v>
      </c>
      <c r="I260" s="268"/>
      <c r="J260" s="269">
        <f t="shared" si="40"/>
        <v>0</v>
      </c>
      <c r="K260" s="270"/>
      <c r="L260" s="174"/>
      <c r="M260" s="271" t="s">
        <v>4</v>
      </c>
      <c r="N260" s="272" t="s">
        <v>1821</v>
      </c>
      <c r="P260" s="259">
        <f t="shared" si="41"/>
        <v>0</v>
      </c>
      <c r="Q260" s="259">
        <v>0</v>
      </c>
      <c r="R260" s="259">
        <f t="shared" si="42"/>
        <v>0</v>
      </c>
      <c r="S260" s="259">
        <v>0</v>
      </c>
      <c r="T260" s="260">
        <f t="shared" si="43"/>
        <v>0</v>
      </c>
      <c r="AR260" s="261" t="s">
        <v>127</v>
      </c>
      <c r="AT260" s="261" t="s">
        <v>1881</v>
      </c>
      <c r="AU260" s="261" t="s">
        <v>227</v>
      </c>
      <c r="AY260" s="167" t="s">
        <v>1873</v>
      </c>
      <c r="BE260" s="262">
        <f t="shared" si="44"/>
        <v>0</v>
      </c>
      <c r="BF260" s="262">
        <f t="shared" si="45"/>
        <v>0</v>
      </c>
      <c r="BG260" s="262">
        <f t="shared" si="46"/>
        <v>0</v>
      </c>
      <c r="BH260" s="262">
        <f t="shared" si="47"/>
        <v>0</v>
      </c>
      <c r="BI260" s="262">
        <f t="shared" si="48"/>
        <v>0</v>
      </c>
      <c r="BJ260" s="167" t="s">
        <v>219</v>
      </c>
      <c r="BK260" s="262">
        <f t="shared" si="49"/>
        <v>0</v>
      </c>
      <c r="BL260" s="167" t="s">
        <v>127</v>
      </c>
      <c r="BM260" s="261" t="s">
        <v>2233</v>
      </c>
    </row>
    <row r="261" spans="2:65" s="173" customFormat="1" ht="16.5" customHeight="1" x14ac:dyDescent="0.25">
      <c r="B261" s="247"/>
      <c r="C261" s="248" t="s">
        <v>584</v>
      </c>
      <c r="D261" s="248" t="s">
        <v>1876</v>
      </c>
      <c r="E261" s="249" t="s">
        <v>2234</v>
      </c>
      <c r="F261" s="250" t="s">
        <v>2235</v>
      </c>
      <c r="G261" s="251" t="s">
        <v>1695</v>
      </c>
      <c r="H261" s="252">
        <v>5</v>
      </c>
      <c r="I261" s="253"/>
      <c r="J261" s="254">
        <f t="shared" si="40"/>
        <v>0</v>
      </c>
      <c r="K261" s="255"/>
      <c r="L261" s="256"/>
      <c r="M261" s="257" t="s">
        <v>4</v>
      </c>
      <c r="N261" s="258" t="s">
        <v>1821</v>
      </c>
      <c r="P261" s="259">
        <f t="shared" si="41"/>
        <v>0</v>
      </c>
      <c r="Q261" s="259">
        <v>0</v>
      </c>
      <c r="R261" s="259">
        <f t="shared" si="42"/>
        <v>0</v>
      </c>
      <c r="S261" s="259">
        <v>0</v>
      </c>
      <c r="T261" s="260">
        <f t="shared" si="43"/>
        <v>0</v>
      </c>
      <c r="AR261" s="261" t="s">
        <v>1009</v>
      </c>
      <c r="AT261" s="261" t="s">
        <v>1876</v>
      </c>
      <c r="AU261" s="261" t="s">
        <v>227</v>
      </c>
      <c r="AY261" s="167" t="s">
        <v>1873</v>
      </c>
      <c r="BE261" s="262">
        <f t="shared" si="44"/>
        <v>0</v>
      </c>
      <c r="BF261" s="262">
        <f t="shared" si="45"/>
        <v>0</v>
      </c>
      <c r="BG261" s="262">
        <f t="shared" si="46"/>
        <v>0</v>
      </c>
      <c r="BH261" s="262">
        <f t="shared" si="47"/>
        <v>0</v>
      </c>
      <c r="BI261" s="262">
        <f t="shared" si="48"/>
        <v>0</v>
      </c>
      <c r="BJ261" s="167" t="s">
        <v>219</v>
      </c>
      <c r="BK261" s="262">
        <f t="shared" si="49"/>
        <v>0</v>
      </c>
      <c r="BL261" s="167" t="s">
        <v>127</v>
      </c>
      <c r="BM261" s="261" t="s">
        <v>2236</v>
      </c>
    </row>
    <row r="262" spans="2:65" s="173" customFormat="1" ht="24.2" customHeight="1" x14ac:dyDescent="0.25">
      <c r="B262" s="247"/>
      <c r="C262" s="263" t="s">
        <v>587</v>
      </c>
      <c r="D262" s="263" t="s">
        <v>1881</v>
      </c>
      <c r="E262" s="264" t="s">
        <v>2237</v>
      </c>
      <c r="F262" s="265" t="s">
        <v>2238</v>
      </c>
      <c r="G262" s="266" t="s">
        <v>329</v>
      </c>
      <c r="H262" s="267">
        <v>6</v>
      </c>
      <c r="I262" s="268"/>
      <c r="J262" s="269">
        <f t="shared" si="40"/>
        <v>0</v>
      </c>
      <c r="K262" s="270"/>
      <c r="L262" s="174"/>
      <c r="M262" s="271" t="s">
        <v>4</v>
      </c>
      <c r="N262" s="272" t="s">
        <v>1821</v>
      </c>
      <c r="P262" s="259">
        <f t="shared" si="41"/>
        <v>0</v>
      </c>
      <c r="Q262" s="259">
        <v>0</v>
      </c>
      <c r="R262" s="259">
        <f t="shared" si="42"/>
        <v>0</v>
      </c>
      <c r="S262" s="259">
        <v>0</v>
      </c>
      <c r="T262" s="260">
        <f t="shared" si="43"/>
        <v>0</v>
      </c>
      <c r="AR262" s="261" t="s">
        <v>127</v>
      </c>
      <c r="AT262" s="261" t="s">
        <v>1881</v>
      </c>
      <c r="AU262" s="261" t="s">
        <v>227</v>
      </c>
      <c r="AY262" s="167" t="s">
        <v>1873</v>
      </c>
      <c r="BE262" s="262">
        <f t="shared" si="44"/>
        <v>0</v>
      </c>
      <c r="BF262" s="262">
        <f t="shared" si="45"/>
        <v>0</v>
      </c>
      <c r="BG262" s="262">
        <f t="shared" si="46"/>
        <v>0</v>
      </c>
      <c r="BH262" s="262">
        <f t="shared" si="47"/>
        <v>0</v>
      </c>
      <c r="BI262" s="262">
        <f t="shared" si="48"/>
        <v>0</v>
      </c>
      <c r="BJ262" s="167" t="s">
        <v>219</v>
      </c>
      <c r="BK262" s="262">
        <f t="shared" si="49"/>
        <v>0</v>
      </c>
      <c r="BL262" s="167" t="s">
        <v>127</v>
      </c>
      <c r="BM262" s="261" t="s">
        <v>2239</v>
      </c>
    </row>
    <row r="263" spans="2:65" s="173" customFormat="1" ht="21.75" customHeight="1" x14ac:dyDescent="0.25">
      <c r="B263" s="247"/>
      <c r="C263" s="248" t="s">
        <v>590</v>
      </c>
      <c r="D263" s="248" t="s">
        <v>1876</v>
      </c>
      <c r="E263" s="249" t="s">
        <v>2240</v>
      </c>
      <c r="F263" s="250" t="s">
        <v>2241</v>
      </c>
      <c r="G263" s="251" t="s">
        <v>329</v>
      </c>
      <c r="H263" s="252">
        <v>6</v>
      </c>
      <c r="I263" s="253"/>
      <c r="J263" s="254">
        <f t="shared" si="40"/>
        <v>0</v>
      </c>
      <c r="K263" s="255"/>
      <c r="L263" s="256"/>
      <c r="M263" s="257" t="s">
        <v>4</v>
      </c>
      <c r="N263" s="258" t="s">
        <v>1821</v>
      </c>
      <c r="P263" s="259">
        <f t="shared" si="41"/>
        <v>0</v>
      </c>
      <c r="Q263" s="259">
        <v>4.1999999999999997E-3</v>
      </c>
      <c r="R263" s="259">
        <f t="shared" si="42"/>
        <v>2.52E-2</v>
      </c>
      <c r="S263" s="259">
        <v>0</v>
      </c>
      <c r="T263" s="260">
        <f t="shared" si="43"/>
        <v>0</v>
      </c>
      <c r="AR263" s="261" t="s">
        <v>611</v>
      </c>
      <c r="AT263" s="261" t="s">
        <v>1876</v>
      </c>
      <c r="AU263" s="261" t="s">
        <v>227</v>
      </c>
      <c r="AY263" s="167" t="s">
        <v>1873</v>
      </c>
      <c r="BE263" s="262">
        <f t="shared" si="44"/>
        <v>0</v>
      </c>
      <c r="BF263" s="262">
        <f t="shared" si="45"/>
        <v>0</v>
      </c>
      <c r="BG263" s="262">
        <f t="shared" si="46"/>
        <v>0</v>
      </c>
      <c r="BH263" s="262">
        <f t="shared" si="47"/>
        <v>0</v>
      </c>
      <c r="BI263" s="262">
        <f t="shared" si="48"/>
        <v>0</v>
      </c>
      <c r="BJ263" s="167" t="s">
        <v>219</v>
      </c>
      <c r="BK263" s="262">
        <f t="shared" si="49"/>
        <v>0</v>
      </c>
      <c r="BL263" s="167" t="s">
        <v>611</v>
      </c>
      <c r="BM263" s="261" t="s">
        <v>2242</v>
      </c>
    </row>
    <row r="264" spans="2:65" s="173" customFormat="1" ht="24.2" customHeight="1" x14ac:dyDescent="0.25">
      <c r="B264" s="247"/>
      <c r="C264" s="248" t="s">
        <v>593</v>
      </c>
      <c r="D264" s="248" t="s">
        <v>1876</v>
      </c>
      <c r="E264" s="249" t="s">
        <v>2243</v>
      </c>
      <c r="F264" s="250" t="s">
        <v>2244</v>
      </c>
      <c r="G264" s="251" t="s">
        <v>329</v>
      </c>
      <c r="H264" s="252">
        <v>12</v>
      </c>
      <c r="I264" s="253"/>
      <c r="J264" s="254">
        <f t="shared" ref="J264:J301" si="50">ROUND(I264*H264,2)</f>
        <v>0</v>
      </c>
      <c r="K264" s="255"/>
      <c r="L264" s="256"/>
      <c r="M264" s="257" t="s">
        <v>4</v>
      </c>
      <c r="N264" s="258" t="s">
        <v>1821</v>
      </c>
      <c r="P264" s="259">
        <f t="shared" ref="P264:P301" si="51">O264*H264</f>
        <v>0</v>
      </c>
      <c r="Q264" s="259">
        <v>3.2000000000000003E-4</v>
      </c>
      <c r="R264" s="259">
        <f t="shared" ref="R264:R301" si="52">Q264*H264</f>
        <v>3.8400000000000005E-3</v>
      </c>
      <c r="S264" s="259">
        <v>0</v>
      </c>
      <c r="T264" s="260">
        <f t="shared" ref="T264:T301" si="53">S264*H264</f>
        <v>0</v>
      </c>
      <c r="AR264" s="261" t="s">
        <v>1009</v>
      </c>
      <c r="AT264" s="261" t="s">
        <v>1876</v>
      </c>
      <c r="AU264" s="261" t="s">
        <v>227</v>
      </c>
      <c r="AY264" s="167" t="s">
        <v>1873</v>
      </c>
      <c r="BE264" s="262">
        <f t="shared" ref="BE264:BE301" si="54">IF(N264="základní",J264,0)</f>
        <v>0</v>
      </c>
      <c r="BF264" s="262">
        <f t="shared" ref="BF264:BF301" si="55">IF(N264="snížená",J264,0)</f>
        <v>0</v>
      </c>
      <c r="BG264" s="262">
        <f t="shared" ref="BG264:BG301" si="56">IF(N264="zákl. přenesená",J264,0)</f>
        <v>0</v>
      </c>
      <c r="BH264" s="262">
        <f t="shared" ref="BH264:BH301" si="57">IF(N264="sníž. přenesená",J264,0)</f>
        <v>0</v>
      </c>
      <c r="BI264" s="262">
        <f t="shared" ref="BI264:BI301" si="58">IF(N264="nulová",J264,0)</f>
        <v>0</v>
      </c>
      <c r="BJ264" s="167" t="s">
        <v>219</v>
      </c>
      <c r="BK264" s="262">
        <f t="shared" ref="BK264:BK301" si="59">ROUND(I264*H264,2)</f>
        <v>0</v>
      </c>
      <c r="BL264" s="167" t="s">
        <v>127</v>
      </c>
      <c r="BM264" s="261" t="s">
        <v>2245</v>
      </c>
    </row>
    <row r="265" spans="2:65" s="173" customFormat="1" ht="21.75" customHeight="1" x14ac:dyDescent="0.25">
      <c r="B265" s="247"/>
      <c r="C265" s="263" t="s">
        <v>596</v>
      </c>
      <c r="D265" s="263" t="s">
        <v>1881</v>
      </c>
      <c r="E265" s="264" t="s">
        <v>2246</v>
      </c>
      <c r="F265" s="265" t="s">
        <v>2247</v>
      </c>
      <c r="G265" s="266" t="s">
        <v>329</v>
      </c>
      <c r="H265" s="267">
        <v>6</v>
      </c>
      <c r="I265" s="268"/>
      <c r="J265" s="269">
        <f t="shared" si="50"/>
        <v>0</v>
      </c>
      <c r="K265" s="270"/>
      <c r="L265" s="174"/>
      <c r="M265" s="271" t="s">
        <v>4</v>
      </c>
      <c r="N265" s="272" t="s">
        <v>1821</v>
      </c>
      <c r="P265" s="259">
        <f t="shared" si="51"/>
        <v>0</v>
      </c>
      <c r="Q265" s="259">
        <v>0</v>
      </c>
      <c r="R265" s="259">
        <f t="shared" si="52"/>
        <v>0</v>
      </c>
      <c r="S265" s="259">
        <v>0</v>
      </c>
      <c r="T265" s="260">
        <f t="shared" si="53"/>
        <v>0</v>
      </c>
      <c r="AR265" s="261" t="s">
        <v>127</v>
      </c>
      <c r="AT265" s="261" t="s">
        <v>1881</v>
      </c>
      <c r="AU265" s="261" t="s">
        <v>227</v>
      </c>
      <c r="AY265" s="167" t="s">
        <v>1873</v>
      </c>
      <c r="BE265" s="262">
        <f t="shared" si="54"/>
        <v>0</v>
      </c>
      <c r="BF265" s="262">
        <f t="shared" si="55"/>
        <v>0</v>
      </c>
      <c r="BG265" s="262">
        <f t="shared" si="56"/>
        <v>0</v>
      </c>
      <c r="BH265" s="262">
        <f t="shared" si="57"/>
        <v>0</v>
      </c>
      <c r="BI265" s="262">
        <f t="shared" si="58"/>
        <v>0</v>
      </c>
      <c r="BJ265" s="167" t="s">
        <v>219</v>
      </c>
      <c r="BK265" s="262">
        <f t="shared" si="59"/>
        <v>0</v>
      </c>
      <c r="BL265" s="167" t="s">
        <v>127</v>
      </c>
      <c r="BM265" s="261" t="s">
        <v>2248</v>
      </c>
    </row>
    <row r="266" spans="2:65" s="173" customFormat="1" ht="16.5" customHeight="1" x14ac:dyDescent="0.25">
      <c r="B266" s="247"/>
      <c r="C266" s="248" t="s">
        <v>599</v>
      </c>
      <c r="D266" s="248" t="s">
        <v>1876</v>
      </c>
      <c r="E266" s="249" t="s">
        <v>2249</v>
      </c>
      <c r="F266" s="250" t="s">
        <v>2250</v>
      </c>
      <c r="G266" s="251" t="s">
        <v>329</v>
      </c>
      <c r="H266" s="252">
        <v>6</v>
      </c>
      <c r="I266" s="253"/>
      <c r="J266" s="254">
        <f t="shared" si="50"/>
        <v>0</v>
      </c>
      <c r="K266" s="255"/>
      <c r="L266" s="256"/>
      <c r="M266" s="257" t="s">
        <v>4</v>
      </c>
      <c r="N266" s="258" t="s">
        <v>1821</v>
      </c>
      <c r="P266" s="259">
        <f t="shared" si="51"/>
        <v>0</v>
      </c>
      <c r="Q266" s="259">
        <v>9.9999999999999995E-7</v>
      </c>
      <c r="R266" s="259">
        <f t="shared" si="52"/>
        <v>6.0000000000000002E-6</v>
      </c>
      <c r="S266" s="259">
        <v>0</v>
      </c>
      <c r="T266" s="260">
        <f t="shared" si="53"/>
        <v>0</v>
      </c>
      <c r="AR266" s="261" t="s">
        <v>611</v>
      </c>
      <c r="AT266" s="261" t="s">
        <v>1876</v>
      </c>
      <c r="AU266" s="261" t="s">
        <v>227</v>
      </c>
      <c r="AY266" s="167" t="s">
        <v>1873</v>
      </c>
      <c r="BE266" s="262">
        <f t="shared" si="54"/>
        <v>0</v>
      </c>
      <c r="BF266" s="262">
        <f t="shared" si="55"/>
        <v>0</v>
      </c>
      <c r="BG266" s="262">
        <f t="shared" si="56"/>
        <v>0</v>
      </c>
      <c r="BH266" s="262">
        <f t="shared" si="57"/>
        <v>0</v>
      </c>
      <c r="BI266" s="262">
        <f t="shared" si="58"/>
        <v>0</v>
      </c>
      <c r="BJ266" s="167" t="s">
        <v>219</v>
      </c>
      <c r="BK266" s="262">
        <f t="shared" si="59"/>
        <v>0</v>
      </c>
      <c r="BL266" s="167" t="s">
        <v>611</v>
      </c>
      <c r="BM266" s="261" t="s">
        <v>2251</v>
      </c>
    </row>
    <row r="267" spans="2:65" s="173" customFormat="1" ht="24.2" customHeight="1" x14ac:dyDescent="0.25">
      <c r="B267" s="247"/>
      <c r="C267" s="263" t="s">
        <v>602</v>
      </c>
      <c r="D267" s="263" t="s">
        <v>1881</v>
      </c>
      <c r="E267" s="264" t="s">
        <v>2252</v>
      </c>
      <c r="F267" s="265" t="s">
        <v>2253</v>
      </c>
      <c r="G267" s="266" t="s">
        <v>333</v>
      </c>
      <c r="H267" s="267">
        <v>55</v>
      </c>
      <c r="I267" s="268"/>
      <c r="J267" s="269">
        <f t="shared" si="50"/>
        <v>0</v>
      </c>
      <c r="K267" s="270"/>
      <c r="L267" s="174"/>
      <c r="M267" s="271" t="s">
        <v>4</v>
      </c>
      <c r="N267" s="272" t="s">
        <v>1821</v>
      </c>
      <c r="P267" s="259">
        <f t="shared" si="51"/>
        <v>0</v>
      </c>
      <c r="Q267" s="259">
        <v>0</v>
      </c>
      <c r="R267" s="259">
        <f t="shared" si="52"/>
        <v>0</v>
      </c>
      <c r="S267" s="259">
        <v>0</v>
      </c>
      <c r="T267" s="260">
        <f t="shared" si="53"/>
        <v>0</v>
      </c>
      <c r="AR267" s="261" t="s">
        <v>127</v>
      </c>
      <c r="AT267" s="261" t="s">
        <v>1881</v>
      </c>
      <c r="AU267" s="261" t="s">
        <v>227</v>
      </c>
      <c r="AY267" s="167" t="s">
        <v>1873</v>
      </c>
      <c r="BE267" s="262">
        <f t="shared" si="54"/>
        <v>0</v>
      </c>
      <c r="BF267" s="262">
        <f t="shared" si="55"/>
        <v>0</v>
      </c>
      <c r="BG267" s="262">
        <f t="shared" si="56"/>
        <v>0</v>
      </c>
      <c r="BH267" s="262">
        <f t="shared" si="57"/>
        <v>0</v>
      </c>
      <c r="BI267" s="262">
        <f t="shared" si="58"/>
        <v>0</v>
      </c>
      <c r="BJ267" s="167" t="s">
        <v>219</v>
      </c>
      <c r="BK267" s="262">
        <f t="shared" si="59"/>
        <v>0</v>
      </c>
      <c r="BL267" s="167" t="s">
        <v>127</v>
      </c>
      <c r="BM267" s="261" t="s">
        <v>2254</v>
      </c>
    </row>
    <row r="268" spans="2:65" s="173" customFormat="1" ht="16.5" customHeight="1" x14ac:dyDescent="0.25">
      <c r="B268" s="247"/>
      <c r="C268" s="248" t="s">
        <v>605</v>
      </c>
      <c r="D268" s="248" t="s">
        <v>1876</v>
      </c>
      <c r="E268" s="249" t="s">
        <v>2255</v>
      </c>
      <c r="F268" s="250" t="s">
        <v>2256</v>
      </c>
      <c r="G268" s="251" t="s">
        <v>333</v>
      </c>
      <c r="H268" s="252">
        <v>55</v>
      </c>
      <c r="I268" s="253"/>
      <c r="J268" s="254">
        <f t="shared" si="50"/>
        <v>0</v>
      </c>
      <c r="K268" s="255"/>
      <c r="L268" s="256"/>
      <c r="M268" s="257" t="s">
        <v>4</v>
      </c>
      <c r="N268" s="258" t="s">
        <v>1821</v>
      </c>
      <c r="P268" s="259">
        <f t="shared" si="51"/>
        <v>0</v>
      </c>
      <c r="Q268" s="259">
        <v>0</v>
      </c>
      <c r="R268" s="259">
        <f t="shared" si="52"/>
        <v>0</v>
      </c>
      <c r="S268" s="259">
        <v>0</v>
      </c>
      <c r="T268" s="260">
        <f t="shared" si="53"/>
        <v>0</v>
      </c>
      <c r="AR268" s="261" t="s">
        <v>1009</v>
      </c>
      <c r="AT268" s="261" t="s">
        <v>1876</v>
      </c>
      <c r="AU268" s="261" t="s">
        <v>227</v>
      </c>
      <c r="AY268" s="167" t="s">
        <v>1873</v>
      </c>
      <c r="BE268" s="262">
        <f t="shared" si="54"/>
        <v>0</v>
      </c>
      <c r="BF268" s="262">
        <f t="shared" si="55"/>
        <v>0</v>
      </c>
      <c r="BG268" s="262">
        <f t="shared" si="56"/>
        <v>0</v>
      </c>
      <c r="BH268" s="262">
        <f t="shared" si="57"/>
        <v>0</v>
      </c>
      <c r="BI268" s="262">
        <f t="shared" si="58"/>
        <v>0</v>
      </c>
      <c r="BJ268" s="167" t="s">
        <v>219</v>
      </c>
      <c r="BK268" s="262">
        <f t="shared" si="59"/>
        <v>0</v>
      </c>
      <c r="BL268" s="167" t="s">
        <v>127</v>
      </c>
      <c r="BM268" s="261" t="s">
        <v>2257</v>
      </c>
    </row>
    <row r="269" spans="2:65" s="173" customFormat="1" ht="24.2" customHeight="1" x14ac:dyDescent="0.25">
      <c r="B269" s="247"/>
      <c r="C269" s="263" t="s">
        <v>608</v>
      </c>
      <c r="D269" s="263" t="s">
        <v>1881</v>
      </c>
      <c r="E269" s="264" t="s">
        <v>2252</v>
      </c>
      <c r="F269" s="265" t="s">
        <v>2253</v>
      </c>
      <c r="G269" s="266" t="s">
        <v>333</v>
      </c>
      <c r="H269" s="267">
        <v>80</v>
      </c>
      <c r="I269" s="268"/>
      <c r="J269" s="269">
        <f t="shared" si="50"/>
        <v>0</v>
      </c>
      <c r="K269" s="270"/>
      <c r="L269" s="174"/>
      <c r="M269" s="271" t="s">
        <v>4</v>
      </c>
      <c r="N269" s="272" t="s">
        <v>1821</v>
      </c>
      <c r="P269" s="259">
        <f t="shared" si="51"/>
        <v>0</v>
      </c>
      <c r="Q269" s="259">
        <v>0</v>
      </c>
      <c r="R269" s="259">
        <f t="shared" si="52"/>
        <v>0</v>
      </c>
      <c r="S269" s="259">
        <v>0</v>
      </c>
      <c r="T269" s="260">
        <f t="shared" si="53"/>
        <v>0</v>
      </c>
      <c r="AR269" s="261" t="s">
        <v>127</v>
      </c>
      <c r="AT269" s="261" t="s">
        <v>1881</v>
      </c>
      <c r="AU269" s="261" t="s">
        <v>227</v>
      </c>
      <c r="AY269" s="167" t="s">
        <v>1873</v>
      </c>
      <c r="BE269" s="262">
        <f t="shared" si="54"/>
        <v>0</v>
      </c>
      <c r="BF269" s="262">
        <f t="shared" si="55"/>
        <v>0</v>
      </c>
      <c r="BG269" s="262">
        <f t="shared" si="56"/>
        <v>0</v>
      </c>
      <c r="BH269" s="262">
        <f t="shared" si="57"/>
        <v>0</v>
      </c>
      <c r="BI269" s="262">
        <f t="shared" si="58"/>
        <v>0</v>
      </c>
      <c r="BJ269" s="167" t="s">
        <v>219</v>
      </c>
      <c r="BK269" s="262">
        <f t="shared" si="59"/>
        <v>0</v>
      </c>
      <c r="BL269" s="167" t="s">
        <v>127</v>
      </c>
      <c r="BM269" s="261" t="s">
        <v>2258</v>
      </c>
    </row>
    <row r="270" spans="2:65" s="173" customFormat="1" ht="16.5" customHeight="1" x14ac:dyDescent="0.25">
      <c r="B270" s="247"/>
      <c r="C270" s="248" t="s">
        <v>611</v>
      </c>
      <c r="D270" s="248" t="s">
        <v>1876</v>
      </c>
      <c r="E270" s="249" t="s">
        <v>2259</v>
      </c>
      <c r="F270" s="250" t="s">
        <v>2260</v>
      </c>
      <c r="G270" s="251" t="s">
        <v>333</v>
      </c>
      <c r="H270" s="252">
        <v>80</v>
      </c>
      <c r="I270" s="253"/>
      <c r="J270" s="254">
        <f t="shared" si="50"/>
        <v>0</v>
      </c>
      <c r="K270" s="255"/>
      <c r="L270" s="256"/>
      <c r="M270" s="257" t="s">
        <v>4</v>
      </c>
      <c r="N270" s="258" t="s">
        <v>1821</v>
      </c>
      <c r="P270" s="259">
        <f t="shared" si="51"/>
        <v>0</v>
      </c>
      <c r="Q270" s="259">
        <v>0</v>
      </c>
      <c r="R270" s="259">
        <f t="shared" si="52"/>
        <v>0</v>
      </c>
      <c r="S270" s="259">
        <v>0</v>
      </c>
      <c r="T270" s="260">
        <f t="shared" si="53"/>
        <v>0</v>
      </c>
      <c r="AR270" s="261" t="s">
        <v>1009</v>
      </c>
      <c r="AT270" s="261" t="s">
        <v>1876</v>
      </c>
      <c r="AU270" s="261" t="s">
        <v>227</v>
      </c>
      <c r="AY270" s="167" t="s">
        <v>1873</v>
      </c>
      <c r="BE270" s="262">
        <f t="shared" si="54"/>
        <v>0</v>
      </c>
      <c r="BF270" s="262">
        <f t="shared" si="55"/>
        <v>0</v>
      </c>
      <c r="BG270" s="262">
        <f t="shared" si="56"/>
        <v>0</v>
      </c>
      <c r="BH270" s="262">
        <f t="shared" si="57"/>
        <v>0</v>
      </c>
      <c r="BI270" s="262">
        <f t="shared" si="58"/>
        <v>0</v>
      </c>
      <c r="BJ270" s="167" t="s">
        <v>219</v>
      </c>
      <c r="BK270" s="262">
        <f t="shared" si="59"/>
        <v>0</v>
      </c>
      <c r="BL270" s="167" t="s">
        <v>127</v>
      </c>
      <c r="BM270" s="261" t="s">
        <v>2261</v>
      </c>
    </row>
    <row r="271" spans="2:65" s="173" customFormat="1" ht="24.2" customHeight="1" x14ac:dyDescent="0.25">
      <c r="B271" s="247"/>
      <c r="C271" s="263" t="s">
        <v>614</v>
      </c>
      <c r="D271" s="263" t="s">
        <v>1881</v>
      </c>
      <c r="E271" s="264" t="s">
        <v>2252</v>
      </c>
      <c r="F271" s="265" t="s">
        <v>2253</v>
      </c>
      <c r="G271" s="266" t="s">
        <v>333</v>
      </c>
      <c r="H271" s="267">
        <v>95</v>
      </c>
      <c r="I271" s="268"/>
      <c r="J271" s="269">
        <f t="shared" si="50"/>
        <v>0</v>
      </c>
      <c r="K271" s="270"/>
      <c r="L271" s="174"/>
      <c r="M271" s="271" t="s">
        <v>4</v>
      </c>
      <c r="N271" s="272" t="s">
        <v>1821</v>
      </c>
      <c r="P271" s="259">
        <f t="shared" si="51"/>
        <v>0</v>
      </c>
      <c r="Q271" s="259">
        <v>0</v>
      </c>
      <c r="R271" s="259">
        <f t="shared" si="52"/>
        <v>0</v>
      </c>
      <c r="S271" s="259">
        <v>0</v>
      </c>
      <c r="T271" s="260">
        <f t="shared" si="53"/>
        <v>0</v>
      </c>
      <c r="AR271" s="261" t="s">
        <v>127</v>
      </c>
      <c r="AT271" s="261" t="s">
        <v>1881</v>
      </c>
      <c r="AU271" s="261" t="s">
        <v>227</v>
      </c>
      <c r="AY271" s="167" t="s">
        <v>1873</v>
      </c>
      <c r="BE271" s="262">
        <f t="shared" si="54"/>
        <v>0</v>
      </c>
      <c r="BF271" s="262">
        <f t="shared" si="55"/>
        <v>0</v>
      </c>
      <c r="BG271" s="262">
        <f t="shared" si="56"/>
        <v>0</v>
      </c>
      <c r="BH271" s="262">
        <f t="shared" si="57"/>
        <v>0</v>
      </c>
      <c r="BI271" s="262">
        <f t="shared" si="58"/>
        <v>0</v>
      </c>
      <c r="BJ271" s="167" t="s">
        <v>219</v>
      </c>
      <c r="BK271" s="262">
        <f t="shared" si="59"/>
        <v>0</v>
      </c>
      <c r="BL271" s="167" t="s">
        <v>127</v>
      </c>
      <c r="BM271" s="261" t="s">
        <v>2262</v>
      </c>
    </row>
    <row r="272" spans="2:65" s="173" customFormat="1" ht="16.5" customHeight="1" x14ac:dyDescent="0.25">
      <c r="B272" s="247"/>
      <c r="C272" s="248" t="s">
        <v>615</v>
      </c>
      <c r="D272" s="248" t="s">
        <v>1876</v>
      </c>
      <c r="E272" s="249" t="s">
        <v>2263</v>
      </c>
      <c r="F272" s="250" t="s">
        <v>2264</v>
      </c>
      <c r="G272" s="251" t="s">
        <v>333</v>
      </c>
      <c r="H272" s="252">
        <v>95</v>
      </c>
      <c r="I272" s="253"/>
      <c r="J272" s="254">
        <f t="shared" si="50"/>
        <v>0</v>
      </c>
      <c r="K272" s="255"/>
      <c r="L272" s="256"/>
      <c r="M272" s="257" t="s">
        <v>4</v>
      </c>
      <c r="N272" s="258" t="s">
        <v>1821</v>
      </c>
      <c r="P272" s="259">
        <f t="shared" si="51"/>
        <v>0</v>
      </c>
      <c r="Q272" s="259">
        <v>0</v>
      </c>
      <c r="R272" s="259">
        <f t="shared" si="52"/>
        <v>0</v>
      </c>
      <c r="S272" s="259">
        <v>0</v>
      </c>
      <c r="T272" s="260">
        <f t="shared" si="53"/>
        <v>0</v>
      </c>
      <c r="AR272" s="261" t="s">
        <v>1009</v>
      </c>
      <c r="AT272" s="261" t="s">
        <v>1876</v>
      </c>
      <c r="AU272" s="261" t="s">
        <v>227</v>
      </c>
      <c r="AY272" s="167" t="s">
        <v>1873</v>
      </c>
      <c r="BE272" s="262">
        <f t="shared" si="54"/>
        <v>0</v>
      </c>
      <c r="BF272" s="262">
        <f t="shared" si="55"/>
        <v>0</v>
      </c>
      <c r="BG272" s="262">
        <f t="shared" si="56"/>
        <v>0</v>
      </c>
      <c r="BH272" s="262">
        <f t="shared" si="57"/>
        <v>0</v>
      </c>
      <c r="BI272" s="262">
        <f t="shared" si="58"/>
        <v>0</v>
      </c>
      <c r="BJ272" s="167" t="s">
        <v>219</v>
      </c>
      <c r="BK272" s="262">
        <f t="shared" si="59"/>
        <v>0</v>
      </c>
      <c r="BL272" s="167" t="s">
        <v>127</v>
      </c>
      <c r="BM272" s="261" t="s">
        <v>2265</v>
      </c>
    </row>
    <row r="273" spans="2:65" s="173" customFormat="1" ht="24.2" customHeight="1" x14ac:dyDescent="0.25">
      <c r="B273" s="247"/>
      <c r="C273" s="263" t="s">
        <v>618</v>
      </c>
      <c r="D273" s="263" t="s">
        <v>1881</v>
      </c>
      <c r="E273" s="264" t="s">
        <v>2266</v>
      </c>
      <c r="F273" s="265" t="s">
        <v>2253</v>
      </c>
      <c r="G273" s="266" t="s">
        <v>333</v>
      </c>
      <c r="H273" s="267">
        <v>15</v>
      </c>
      <c r="I273" s="268"/>
      <c r="J273" s="269">
        <f t="shared" si="50"/>
        <v>0</v>
      </c>
      <c r="K273" s="270"/>
      <c r="L273" s="174"/>
      <c r="M273" s="271" t="s">
        <v>4</v>
      </c>
      <c r="N273" s="272" t="s">
        <v>1821</v>
      </c>
      <c r="P273" s="259">
        <f t="shared" si="51"/>
        <v>0</v>
      </c>
      <c r="Q273" s="259">
        <v>0</v>
      </c>
      <c r="R273" s="259">
        <f t="shared" si="52"/>
        <v>0</v>
      </c>
      <c r="S273" s="259">
        <v>0</v>
      </c>
      <c r="T273" s="260">
        <f t="shared" si="53"/>
        <v>0</v>
      </c>
      <c r="AR273" s="261" t="s">
        <v>127</v>
      </c>
      <c r="AT273" s="261" t="s">
        <v>1881</v>
      </c>
      <c r="AU273" s="261" t="s">
        <v>227</v>
      </c>
      <c r="AY273" s="167" t="s">
        <v>1873</v>
      </c>
      <c r="BE273" s="262">
        <f t="shared" si="54"/>
        <v>0</v>
      </c>
      <c r="BF273" s="262">
        <f t="shared" si="55"/>
        <v>0</v>
      </c>
      <c r="BG273" s="262">
        <f t="shared" si="56"/>
        <v>0</v>
      </c>
      <c r="BH273" s="262">
        <f t="shared" si="57"/>
        <v>0</v>
      </c>
      <c r="BI273" s="262">
        <f t="shared" si="58"/>
        <v>0</v>
      </c>
      <c r="BJ273" s="167" t="s">
        <v>219</v>
      </c>
      <c r="BK273" s="262">
        <f t="shared" si="59"/>
        <v>0</v>
      </c>
      <c r="BL273" s="167" t="s">
        <v>127</v>
      </c>
      <c r="BM273" s="261" t="s">
        <v>2267</v>
      </c>
    </row>
    <row r="274" spans="2:65" s="173" customFormat="1" ht="16.5" customHeight="1" x14ac:dyDescent="0.25">
      <c r="B274" s="247"/>
      <c r="C274" s="248" t="s">
        <v>621</v>
      </c>
      <c r="D274" s="248" t="s">
        <v>1876</v>
      </c>
      <c r="E274" s="249" t="s">
        <v>2268</v>
      </c>
      <c r="F274" s="250" t="s">
        <v>2269</v>
      </c>
      <c r="G274" s="251" t="s">
        <v>333</v>
      </c>
      <c r="H274" s="252">
        <v>15</v>
      </c>
      <c r="I274" s="253"/>
      <c r="J274" s="254">
        <f t="shared" si="50"/>
        <v>0</v>
      </c>
      <c r="K274" s="255"/>
      <c r="L274" s="256"/>
      <c r="M274" s="257" t="s">
        <v>4</v>
      </c>
      <c r="N274" s="258" t="s">
        <v>1821</v>
      </c>
      <c r="P274" s="259">
        <f t="shared" si="51"/>
        <v>0</v>
      </c>
      <c r="Q274" s="259">
        <v>2.7E-4</v>
      </c>
      <c r="R274" s="259">
        <f t="shared" si="52"/>
        <v>4.0499999999999998E-3</v>
      </c>
      <c r="S274" s="259">
        <v>0</v>
      </c>
      <c r="T274" s="260">
        <f t="shared" si="53"/>
        <v>0</v>
      </c>
      <c r="AR274" s="261" t="s">
        <v>611</v>
      </c>
      <c r="AT274" s="261" t="s">
        <v>1876</v>
      </c>
      <c r="AU274" s="261" t="s">
        <v>227</v>
      </c>
      <c r="AY274" s="167" t="s">
        <v>1873</v>
      </c>
      <c r="BE274" s="262">
        <f t="shared" si="54"/>
        <v>0</v>
      </c>
      <c r="BF274" s="262">
        <f t="shared" si="55"/>
        <v>0</v>
      </c>
      <c r="BG274" s="262">
        <f t="shared" si="56"/>
        <v>0</v>
      </c>
      <c r="BH274" s="262">
        <f t="shared" si="57"/>
        <v>0</v>
      </c>
      <c r="BI274" s="262">
        <f t="shared" si="58"/>
        <v>0</v>
      </c>
      <c r="BJ274" s="167" t="s">
        <v>219</v>
      </c>
      <c r="BK274" s="262">
        <f t="shared" si="59"/>
        <v>0</v>
      </c>
      <c r="BL274" s="167" t="s">
        <v>611</v>
      </c>
      <c r="BM274" s="261" t="s">
        <v>2270</v>
      </c>
    </row>
    <row r="275" spans="2:65" s="173" customFormat="1" ht="16.5" customHeight="1" x14ac:dyDescent="0.25">
      <c r="B275" s="247"/>
      <c r="C275" s="263" t="s">
        <v>624</v>
      </c>
      <c r="D275" s="263" t="s">
        <v>1881</v>
      </c>
      <c r="E275" s="264" t="s">
        <v>2271</v>
      </c>
      <c r="F275" s="265" t="s">
        <v>2272</v>
      </c>
      <c r="G275" s="266" t="s">
        <v>329</v>
      </c>
      <c r="H275" s="267">
        <v>15</v>
      </c>
      <c r="I275" s="268"/>
      <c r="J275" s="269">
        <f t="shared" si="50"/>
        <v>0</v>
      </c>
      <c r="K275" s="270"/>
      <c r="L275" s="174"/>
      <c r="M275" s="271" t="s">
        <v>4</v>
      </c>
      <c r="N275" s="272" t="s">
        <v>1821</v>
      </c>
      <c r="P275" s="259">
        <f t="shared" si="51"/>
        <v>0</v>
      </c>
      <c r="Q275" s="259">
        <v>0</v>
      </c>
      <c r="R275" s="259">
        <f t="shared" si="52"/>
        <v>0</v>
      </c>
      <c r="S275" s="259">
        <v>0</v>
      </c>
      <c r="T275" s="260">
        <f t="shared" si="53"/>
        <v>0</v>
      </c>
      <c r="AR275" s="261" t="s">
        <v>127</v>
      </c>
      <c r="AT275" s="261" t="s">
        <v>1881</v>
      </c>
      <c r="AU275" s="261" t="s">
        <v>227</v>
      </c>
      <c r="AY275" s="167" t="s">
        <v>1873</v>
      </c>
      <c r="BE275" s="262">
        <f t="shared" si="54"/>
        <v>0</v>
      </c>
      <c r="BF275" s="262">
        <f t="shared" si="55"/>
        <v>0</v>
      </c>
      <c r="BG275" s="262">
        <f t="shared" si="56"/>
        <v>0</v>
      </c>
      <c r="BH275" s="262">
        <f t="shared" si="57"/>
        <v>0</v>
      </c>
      <c r="BI275" s="262">
        <f t="shared" si="58"/>
        <v>0</v>
      </c>
      <c r="BJ275" s="167" t="s">
        <v>219</v>
      </c>
      <c r="BK275" s="262">
        <f t="shared" si="59"/>
        <v>0</v>
      </c>
      <c r="BL275" s="167" t="s">
        <v>127</v>
      </c>
      <c r="BM275" s="261" t="s">
        <v>2273</v>
      </c>
    </row>
    <row r="276" spans="2:65" s="173" customFormat="1" ht="24.2" customHeight="1" x14ac:dyDescent="0.25">
      <c r="B276" s="247"/>
      <c r="C276" s="248" t="s">
        <v>627</v>
      </c>
      <c r="D276" s="248" t="s">
        <v>1876</v>
      </c>
      <c r="E276" s="249" t="s">
        <v>2274</v>
      </c>
      <c r="F276" s="250" t="s">
        <v>2275</v>
      </c>
      <c r="G276" s="251" t="s">
        <v>329</v>
      </c>
      <c r="H276" s="252">
        <v>15</v>
      </c>
      <c r="I276" s="253"/>
      <c r="J276" s="254">
        <f t="shared" si="50"/>
        <v>0</v>
      </c>
      <c r="K276" s="255"/>
      <c r="L276" s="256"/>
      <c r="M276" s="257" t="s">
        <v>4</v>
      </c>
      <c r="N276" s="258" t="s">
        <v>1821</v>
      </c>
      <c r="P276" s="259">
        <f t="shared" si="51"/>
        <v>0</v>
      </c>
      <c r="Q276" s="259">
        <v>2.5000000000000001E-4</v>
      </c>
      <c r="R276" s="259">
        <f t="shared" si="52"/>
        <v>3.7499999999999999E-3</v>
      </c>
      <c r="S276" s="259">
        <v>0</v>
      </c>
      <c r="T276" s="260">
        <f t="shared" si="53"/>
        <v>0</v>
      </c>
      <c r="AR276" s="261" t="s">
        <v>611</v>
      </c>
      <c r="AT276" s="261" t="s">
        <v>1876</v>
      </c>
      <c r="AU276" s="261" t="s">
        <v>227</v>
      </c>
      <c r="AY276" s="167" t="s">
        <v>1873</v>
      </c>
      <c r="BE276" s="262">
        <f t="shared" si="54"/>
        <v>0</v>
      </c>
      <c r="BF276" s="262">
        <f t="shared" si="55"/>
        <v>0</v>
      </c>
      <c r="BG276" s="262">
        <f t="shared" si="56"/>
        <v>0</v>
      </c>
      <c r="BH276" s="262">
        <f t="shared" si="57"/>
        <v>0</v>
      </c>
      <c r="BI276" s="262">
        <f t="shared" si="58"/>
        <v>0</v>
      </c>
      <c r="BJ276" s="167" t="s">
        <v>219</v>
      </c>
      <c r="BK276" s="262">
        <f t="shared" si="59"/>
        <v>0</v>
      </c>
      <c r="BL276" s="167" t="s">
        <v>611</v>
      </c>
      <c r="BM276" s="261" t="s">
        <v>2276</v>
      </c>
    </row>
    <row r="277" spans="2:65" s="173" customFormat="1" ht="16.5" customHeight="1" x14ac:dyDescent="0.25">
      <c r="B277" s="247"/>
      <c r="C277" s="263" t="s">
        <v>630</v>
      </c>
      <c r="D277" s="263" t="s">
        <v>1881</v>
      </c>
      <c r="E277" s="264" t="s">
        <v>2277</v>
      </c>
      <c r="F277" s="265" t="s">
        <v>2278</v>
      </c>
      <c r="G277" s="266" t="s">
        <v>1695</v>
      </c>
      <c r="H277" s="267">
        <v>64</v>
      </c>
      <c r="I277" s="268"/>
      <c r="J277" s="269">
        <f t="shared" si="50"/>
        <v>0</v>
      </c>
      <c r="K277" s="270"/>
      <c r="L277" s="174"/>
      <c r="M277" s="271" t="s">
        <v>4</v>
      </c>
      <c r="N277" s="272" t="s">
        <v>1821</v>
      </c>
      <c r="P277" s="259">
        <f t="shared" si="51"/>
        <v>0</v>
      </c>
      <c r="Q277" s="259">
        <v>0</v>
      </c>
      <c r="R277" s="259">
        <f t="shared" si="52"/>
        <v>0</v>
      </c>
      <c r="S277" s="259">
        <v>0</v>
      </c>
      <c r="T277" s="260">
        <f t="shared" si="53"/>
        <v>0</v>
      </c>
      <c r="AR277" s="261" t="s">
        <v>127</v>
      </c>
      <c r="AT277" s="261" t="s">
        <v>1881</v>
      </c>
      <c r="AU277" s="261" t="s">
        <v>227</v>
      </c>
      <c r="AY277" s="167" t="s">
        <v>1873</v>
      </c>
      <c r="BE277" s="262">
        <f t="shared" si="54"/>
        <v>0</v>
      </c>
      <c r="BF277" s="262">
        <f t="shared" si="55"/>
        <v>0</v>
      </c>
      <c r="BG277" s="262">
        <f t="shared" si="56"/>
        <v>0</v>
      </c>
      <c r="BH277" s="262">
        <f t="shared" si="57"/>
        <v>0</v>
      </c>
      <c r="BI277" s="262">
        <f t="shared" si="58"/>
        <v>0</v>
      </c>
      <c r="BJ277" s="167" t="s">
        <v>219</v>
      </c>
      <c r="BK277" s="262">
        <f t="shared" si="59"/>
        <v>0</v>
      </c>
      <c r="BL277" s="167" t="s">
        <v>127</v>
      </c>
      <c r="BM277" s="261" t="s">
        <v>2279</v>
      </c>
    </row>
    <row r="278" spans="2:65" s="173" customFormat="1" ht="16.5" customHeight="1" x14ac:dyDescent="0.25">
      <c r="B278" s="247"/>
      <c r="C278" s="248" t="s">
        <v>634</v>
      </c>
      <c r="D278" s="248" t="s">
        <v>1876</v>
      </c>
      <c r="E278" s="249" t="s">
        <v>2280</v>
      </c>
      <c r="F278" s="250" t="s">
        <v>2281</v>
      </c>
      <c r="G278" s="251" t="s">
        <v>1695</v>
      </c>
      <c r="H278" s="252">
        <v>64</v>
      </c>
      <c r="I278" s="253"/>
      <c r="J278" s="254">
        <f t="shared" si="50"/>
        <v>0</v>
      </c>
      <c r="K278" s="255"/>
      <c r="L278" s="256"/>
      <c r="M278" s="257" t="s">
        <v>4</v>
      </c>
      <c r="N278" s="258" t="s">
        <v>1821</v>
      </c>
      <c r="P278" s="259">
        <f t="shared" si="51"/>
        <v>0</v>
      </c>
      <c r="Q278" s="259">
        <v>0</v>
      </c>
      <c r="R278" s="259">
        <f t="shared" si="52"/>
        <v>0</v>
      </c>
      <c r="S278" s="259">
        <v>0</v>
      </c>
      <c r="T278" s="260">
        <f t="shared" si="53"/>
        <v>0</v>
      </c>
      <c r="AR278" s="261" t="s">
        <v>1009</v>
      </c>
      <c r="AT278" s="261" t="s">
        <v>1876</v>
      </c>
      <c r="AU278" s="261" t="s">
        <v>227</v>
      </c>
      <c r="AY278" s="167" t="s">
        <v>1873</v>
      </c>
      <c r="BE278" s="262">
        <f t="shared" si="54"/>
        <v>0</v>
      </c>
      <c r="BF278" s="262">
        <f t="shared" si="55"/>
        <v>0</v>
      </c>
      <c r="BG278" s="262">
        <f t="shared" si="56"/>
        <v>0</v>
      </c>
      <c r="BH278" s="262">
        <f t="shared" si="57"/>
        <v>0</v>
      </c>
      <c r="BI278" s="262">
        <f t="shared" si="58"/>
        <v>0</v>
      </c>
      <c r="BJ278" s="167" t="s">
        <v>219</v>
      </c>
      <c r="BK278" s="262">
        <f t="shared" si="59"/>
        <v>0</v>
      </c>
      <c r="BL278" s="167" t="s">
        <v>127</v>
      </c>
      <c r="BM278" s="261" t="s">
        <v>2282</v>
      </c>
    </row>
    <row r="279" spans="2:65" s="173" customFormat="1" ht="33" customHeight="1" x14ac:dyDescent="0.25">
      <c r="B279" s="247"/>
      <c r="C279" s="263" t="s">
        <v>637</v>
      </c>
      <c r="D279" s="263" t="s">
        <v>1881</v>
      </c>
      <c r="E279" s="264" t="s">
        <v>2283</v>
      </c>
      <c r="F279" s="265" t="s">
        <v>2284</v>
      </c>
      <c r="G279" s="266" t="s">
        <v>333</v>
      </c>
      <c r="H279" s="267">
        <v>30</v>
      </c>
      <c r="I279" s="268"/>
      <c r="J279" s="269">
        <f t="shared" si="50"/>
        <v>0</v>
      </c>
      <c r="K279" s="270"/>
      <c r="L279" s="174"/>
      <c r="M279" s="271" t="s">
        <v>4</v>
      </c>
      <c r="N279" s="272" t="s">
        <v>1821</v>
      </c>
      <c r="P279" s="259">
        <f t="shared" si="51"/>
        <v>0</v>
      </c>
      <c r="Q279" s="259">
        <v>0</v>
      </c>
      <c r="R279" s="259">
        <f t="shared" si="52"/>
        <v>0</v>
      </c>
      <c r="S279" s="259">
        <v>0</v>
      </c>
      <c r="T279" s="260">
        <f t="shared" si="53"/>
        <v>0</v>
      </c>
      <c r="AR279" s="261" t="s">
        <v>127</v>
      </c>
      <c r="AT279" s="261" t="s">
        <v>1881</v>
      </c>
      <c r="AU279" s="261" t="s">
        <v>227</v>
      </c>
      <c r="AY279" s="167" t="s">
        <v>1873</v>
      </c>
      <c r="BE279" s="262">
        <f t="shared" si="54"/>
        <v>0</v>
      </c>
      <c r="BF279" s="262">
        <f t="shared" si="55"/>
        <v>0</v>
      </c>
      <c r="BG279" s="262">
        <f t="shared" si="56"/>
        <v>0</v>
      </c>
      <c r="BH279" s="262">
        <f t="shared" si="57"/>
        <v>0</v>
      </c>
      <c r="BI279" s="262">
        <f t="shared" si="58"/>
        <v>0</v>
      </c>
      <c r="BJ279" s="167" t="s">
        <v>219</v>
      </c>
      <c r="BK279" s="262">
        <f t="shared" si="59"/>
        <v>0</v>
      </c>
      <c r="BL279" s="167" t="s">
        <v>127</v>
      </c>
      <c r="BM279" s="261" t="s">
        <v>2285</v>
      </c>
    </row>
    <row r="280" spans="2:65" s="173" customFormat="1" ht="24.2" customHeight="1" x14ac:dyDescent="0.25">
      <c r="B280" s="247"/>
      <c r="C280" s="248" t="s">
        <v>640</v>
      </c>
      <c r="D280" s="248" t="s">
        <v>1876</v>
      </c>
      <c r="E280" s="249" t="s">
        <v>2286</v>
      </c>
      <c r="F280" s="250" t="s">
        <v>2287</v>
      </c>
      <c r="G280" s="251" t="s">
        <v>333</v>
      </c>
      <c r="H280" s="252">
        <v>30</v>
      </c>
      <c r="I280" s="253"/>
      <c r="J280" s="254">
        <f t="shared" si="50"/>
        <v>0</v>
      </c>
      <c r="K280" s="255"/>
      <c r="L280" s="256"/>
      <c r="M280" s="257" t="s">
        <v>4</v>
      </c>
      <c r="N280" s="258" t="s">
        <v>1821</v>
      </c>
      <c r="P280" s="259">
        <f t="shared" si="51"/>
        <v>0</v>
      </c>
      <c r="Q280" s="259">
        <v>1.9499999999999999E-3</v>
      </c>
      <c r="R280" s="259">
        <f t="shared" si="52"/>
        <v>5.8499999999999996E-2</v>
      </c>
      <c r="S280" s="259">
        <v>0</v>
      </c>
      <c r="T280" s="260">
        <f t="shared" si="53"/>
        <v>0</v>
      </c>
      <c r="AR280" s="261" t="s">
        <v>611</v>
      </c>
      <c r="AT280" s="261" t="s">
        <v>1876</v>
      </c>
      <c r="AU280" s="261" t="s">
        <v>227</v>
      </c>
      <c r="AY280" s="167" t="s">
        <v>1873</v>
      </c>
      <c r="BE280" s="262">
        <f t="shared" si="54"/>
        <v>0</v>
      </c>
      <c r="BF280" s="262">
        <f t="shared" si="55"/>
        <v>0</v>
      </c>
      <c r="BG280" s="262">
        <f t="shared" si="56"/>
        <v>0</v>
      </c>
      <c r="BH280" s="262">
        <f t="shared" si="57"/>
        <v>0</v>
      </c>
      <c r="BI280" s="262">
        <f t="shared" si="58"/>
        <v>0</v>
      </c>
      <c r="BJ280" s="167" t="s">
        <v>219</v>
      </c>
      <c r="BK280" s="262">
        <f t="shared" si="59"/>
        <v>0</v>
      </c>
      <c r="BL280" s="167" t="s">
        <v>611</v>
      </c>
      <c r="BM280" s="261" t="s">
        <v>2288</v>
      </c>
    </row>
    <row r="281" spans="2:65" s="173" customFormat="1" ht="37.9" customHeight="1" x14ac:dyDescent="0.25">
      <c r="B281" s="247"/>
      <c r="C281" s="263" t="s">
        <v>644</v>
      </c>
      <c r="D281" s="263" t="s">
        <v>1881</v>
      </c>
      <c r="E281" s="264" t="s">
        <v>2289</v>
      </c>
      <c r="F281" s="265" t="s">
        <v>2290</v>
      </c>
      <c r="G281" s="266" t="s">
        <v>333</v>
      </c>
      <c r="H281" s="267">
        <v>40</v>
      </c>
      <c r="I281" s="268"/>
      <c r="J281" s="269">
        <f t="shared" si="50"/>
        <v>0</v>
      </c>
      <c r="K281" s="270"/>
      <c r="L281" s="174"/>
      <c r="M281" s="271" t="s">
        <v>4</v>
      </c>
      <c r="N281" s="272" t="s">
        <v>1821</v>
      </c>
      <c r="P281" s="259">
        <f t="shared" si="51"/>
        <v>0</v>
      </c>
      <c r="Q281" s="259">
        <v>0</v>
      </c>
      <c r="R281" s="259">
        <f t="shared" si="52"/>
        <v>0</v>
      </c>
      <c r="S281" s="259">
        <v>0</v>
      </c>
      <c r="T281" s="260">
        <f t="shared" si="53"/>
        <v>0</v>
      </c>
      <c r="AR281" s="261" t="s">
        <v>127</v>
      </c>
      <c r="AT281" s="261" t="s">
        <v>1881</v>
      </c>
      <c r="AU281" s="261" t="s">
        <v>227</v>
      </c>
      <c r="AY281" s="167" t="s">
        <v>1873</v>
      </c>
      <c r="BE281" s="262">
        <f t="shared" si="54"/>
        <v>0</v>
      </c>
      <c r="BF281" s="262">
        <f t="shared" si="55"/>
        <v>0</v>
      </c>
      <c r="BG281" s="262">
        <f t="shared" si="56"/>
        <v>0</v>
      </c>
      <c r="BH281" s="262">
        <f t="shared" si="57"/>
        <v>0</v>
      </c>
      <c r="BI281" s="262">
        <f t="shared" si="58"/>
        <v>0</v>
      </c>
      <c r="BJ281" s="167" t="s">
        <v>219</v>
      </c>
      <c r="BK281" s="262">
        <f t="shared" si="59"/>
        <v>0</v>
      </c>
      <c r="BL281" s="167" t="s">
        <v>127</v>
      </c>
      <c r="BM281" s="261" t="s">
        <v>2291</v>
      </c>
    </row>
    <row r="282" spans="2:65" s="173" customFormat="1" ht="16.5" customHeight="1" x14ac:dyDescent="0.25">
      <c r="B282" s="247"/>
      <c r="C282" s="248" t="s">
        <v>647</v>
      </c>
      <c r="D282" s="248" t="s">
        <v>1876</v>
      </c>
      <c r="E282" s="249" t="s">
        <v>2292</v>
      </c>
      <c r="F282" s="250" t="s">
        <v>2293</v>
      </c>
      <c r="G282" s="251" t="s">
        <v>333</v>
      </c>
      <c r="H282" s="252">
        <v>40</v>
      </c>
      <c r="I282" s="253"/>
      <c r="J282" s="254">
        <f t="shared" si="50"/>
        <v>0</v>
      </c>
      <c r="K282" s="255"/>
      <c r="L282" s="256"/>
      <c r="M282" s="257" t="s">
        <v>4</v>
      </c>
      <c r="N282" s="258" t="s">
        <v>1821</v>
      </c>
      <c r="P282" s="259">
        <f t="shared" si="51"/>
        <v>0</v>
      </c>
      <c r="Q282" s="259">
        <v>1.35E-4</v>
      </c>
      <c r="R282" s="259">
        <f t="shared" si="52"/>
        <v>5.4000000000000003E-3</v>
      </c>
      <c r="S282" s="259">
        <v>0</v>
      </c>
      <c r="T282" s="260">
        <f t="shared" si="53"/>
        <v>0</v>
      </c>
      <c r="AR282" s="261" t="s">
        <v>611</v>
      </c>
      <c r="AT282" s="261" t="s">
        <v>1876</v>
      </c>
      <c r="AU282" s="261" t="s">
        <v>227</v>
      </c>
      <c r="AY282" s="167" t="s">
        <v>1873</v>
      </c>
      <c r="BE282" s="262">
        <f t="shared" si="54"/>
        <v>0</v>
      </c>
      <c r="BF282" s="262">
        <f t="shared" si="55"/>
        <v>0</v>
      </c>
      <c r="BG282" s="262">
        <f t="shared" si="56"/>
        <v>0</v>
      </c>
      <c r="BH282" s="262">
        <f t="shared" si="57"/>
        <v>0</v>
      </c>
      <c r="BI282" s="262">
        <f t="shared" si="58"/>
        <v>0</v>
      </c>
      <c r="BJ282" s="167" t="s">
        <v>219</v>
      </c>
      <c r="BK282" s="262">
        <f t="shared" si="59"/>
        <v>0</v>
      </c>
      <c r="BL282" s="167" t="s">
        <v>611</v>
      </c>
      <c r="BM282" s="261" t="s">
        <v>2294</v>
      </c>
    </row>
    <row r="283" spans="2:65" s="173" customFormat="1" ht="33" customHeight="1" x14ac:dyDescent="0.25">
      <c r="B283" s="247"/>
      <c r="C283" s="263" t="s">
        <v>650</v>
      </c>
      <c r="D283" s="263" t="s">
        <v>1881</v>
      </c>
      <c r="E283" s="264" t="s">
        <v>2295</v>
      </c>
      <c r="F283" s="265" t="s">
        <v>2296</v>
      </c>
      <c r="G283" s="266" t="s">
        <v>333</v>
      </c>
      <c r="H283" s="267">
        <v>40</v>
      </c>
      <c r="I283" s="268"/>
      <c r="J283" s="269">
        <f t="shared" si="50"/>
        <v>0</v>
      </c>
      <c r="K283" s="270"/>
      <c r="L283" s="174"/>
      <c r="M283" s="271" t="s">
        <v>4</v>
      </c>
      <c r="N283" s="272" t="s">
        <v>1821</v>
      </c>
      <c r="P283" s="259">
        <f t="shared" si="51"/>
        <v>0</v>
      </c>
      <c r="Q283" s="259">
        <v>0</v>
      </c>
      <c r="R283" s="259">
        <f t="shared" si="52"/>
        <v>0</v>
      </c>
      <c r="S283" s="259">
        <v>0</v>
      </c>
      <c r="T283" s="260">
        <f t="shared" si="53"/>
        <v>0</v>
      </c>
      <c r="AR283" s="261" t="s">
        <v>127</v>
      </c>
      <c r="AT283" s="261" t="s">
        <v>1881</v>
      </c>
      <c r="AU283" s="261" t="s">
        <v>227</v>
      </c>
      <c r="AY283" s="167" t="s">
        <v>1873</v>
      </c>
      <c r="BE283" s="262">
        <f t="shared" si="54"/>
        <v>0</v>
      </c>
      <c r="BF283" s="262">
        <f t="shared" si="55"/>
        <v>0</v>
      </c>
      <c r="BG283" s="262">
        <f t="shared" si="56"/>
        <v>0</v>
      </c>
      <c r="BH283" s="262">
        <f t="shared" si="57"/>
        <v>0</v>
      </c>
      <c r="BI283" s="262">
        <f t="shared" si="58"/>
        <v>0</v>
      </c>
      <c r="BJ283" s="167" t="s">
        <v>219</v>
      </c>
      <c r="BK283" s="262">
        <f t="shared" si="59"/>
        <v>0</v>
      </c>
      <c r="BL283" s="167" t="s">
        <v>127</v>
      </c>
      <c r="BM283" s="261" t="s">
        <v>2297</v>
      </c>
    </row>
    <row r="284" spans="2:65" s="173" customFormat="1" ht="16.5" customHeight="1" x14ac:dyDescent="0.25">
      <c r="B284" s="247"/>
      <c r="C284" s="248" t="s">
        <v>653</v>
      </c>
      <c r="D284" s="248" t="s">
        <v>1876</v>
      </c>
      <c r="E284" s="249" t="s">
        <v>2298</v>
      </c>
      <c r="F284" s="250" t="s">
        <v>2299</v>
      </c>
      <c r="G284" s="251" t="s">
        <v>333</v>
      </c>
      <c r="H284" s="252">
        <v>40</v>
      </c>
      <c r="I284" s="253"/>
      <c r="J284" s="254">
        <f t="shared" si="50"/>
        <v>0</v>
      </c>
      <c r="K284" s="255"/>
      <c r="L284" s="256"/>
      <c r="M284" s="257" t="s">
        <v>4</v>
      </c>
      <c r="N284" s="258" t="s">
        <v>1821</v>
      </c>
      <c r="P284" s="259">
        <f t="shared" si="51"/>
        <v>0</v>
      </c>
      <c r="Q284" s="259">
        <v>1.4999999999999999E-4</v>
      </c>
      <c r="R284" s="259">
        <f t="shared" si="52"/>
        <v>5.9999999999999993E-3</v>
      </c>
      <c r="S284" s="259">
        <v>0</v>
      </c>
      <c r="T284" s="260">
        <f t="shared" si="53"/>
        <v>0</v>
      </c>
      <c r="AR284" s="261" t="s">
        <v>611</v>
      </c>
      <c r="AT284" s="261" t="s">
        <v>1876</v>
      </c>
      <c r="AU284" s="261" t="s">
        <v>227</v>
      </c>
      <c r="AY284" s="167" t="s">
        <v>1873</v>
      </c>
      <c r="BE284" s="262">
        <f t="shared" si="54"/>
        <v>0</v>
      </c>
      <c r="BF284" s="262">
        <f t="shared" si="55"/>
        <v>0</v>
      </c>
      <c r="BG284" s="262">
        <f t="shared" si="56"/>
        <v>0</v>
      </c>
      <c r="BH284" s="262">
        <f t="shared" si="57"/>
        <v>0</v>
      </c>
      <c r="BI284" s="262">
        <f t="shared" si="58"/>
        <v>0</v>
      </c>
      <c r="BJ284" s="167" t="s">
        <v>219</v>
      </c>
      <c r="BK284" s="262">
        <f t="shared" si="59"/>
        <v>0</v>
      </c>
      <c r="BL284" s="167" t="s">
        <v>611</v>
      </c>
      <c r="BM284" s="261" t="s">
        <v>2300</v>
      </c>
    </row>
    <row r="285" spans="2:65" s="173" customFormat="1" ht="33" customHeight="1" x14ac:dyDescent="0.25">
      <c r="B285" s="247"/>
      <c r="C285" s="263" t="s">
        <v>656</v>
      </c>
      <c r="D285" s="263" t="s">
        <v>1881</v>
      </c>
      <c r="E285" s="264" t="s">
        <v>2301</v>
      </c>
      <c r="F285" s="265" t="s">
        <v>2302</v>
      </c>
      <c r="G285" s="266" t="s">
        <v>333</v>
      </c>
      <c r="H285" s="267">
        <v>18</v>
      </c>
      <c r="I285" s="268"/>
      <c r="J285" s="269">
        <f t="shared" si="50"/>
        <v>0</v>
      </c>
      <c r="K285" s="270"/>
      <c r="L285" s="174"/>
      <c r="M285" s="271" t="s">
        <v>4</v>
      </c>
      <c r="N285" s="272" t="s">
        <v>1821</v>
      </c>
      <c r="P285" s="259">
        <f t="shared" si="51"/>
        <v>0</v>
      </c>
      <c r="Q285" s="259">
        <v>0</v>
      </c>
      <c r="R285" s="259">
        <f t="shared" si="52"/>
        <v>0</v>
      </c>
      <c r="S285" s="259">
        <v>0</v>
      </c>
      <c r="T285" s="260">
        <f t="shared" si="53"/>
        <v>0</v>
      </c>
      <c r="AR285" s="261" t="s">
        <v>127</v>
      </c>
      <c r="AT285" s="261" t="s">
        <v>1881</v>
      </c>
      <c r="AU285" s="261" t="s">
        <v>227</v>
      </c>
      <c r="AY285" s="167" t="s">
        <v>1873</v>
      </c>
      <c r="BE285" s="262">
        <f t="shared" si="54"/>
        <v>0</v>
      </c>
      <c r="BF285" s="262">
        <f t="shared" si="55"/>
        <v>0</v>
      </c>
      <c r="BG285" s="262">
        <f t="shared" si="56"/>
        <v>0</v>
      </c>
      <c r="BH285" s="262">
        <f t="shared" si="57"/>
        <v>0</v>
      </c>
      <c r="BI285" s="262">
        <f t="shared" si="58"/>
        <v>0</v>
      </c>
      <c r="BJ285" s="167" t="s">
        <v>219</v>
      </c>
      <c r="BK285" s="262">
        <f t="shared" si="59"/>
        <v>0</v>
      </c>
      <c r="BL285" s="167" t="s">
        <v>127</v>
      </c>
      <c r="BM285" s="261" t="s">
        <v>2303</v>
      </c>
    </row>
    <row r="286" spans="2:65" s="173" customFormat="1" ht="16.5" customHeight="1" x14ac:dyDescent="0.25">
      <c r="B286" s="247"/>
      <c r="C286" s="248" t="s">
        <v>660</v>
      </c>
      <c r="D286" s="248" t="s">
        <v>1876</v>
      </c>
      <c r="E286" s="249" t="s">
        <v>2304</v>
      </c>
      <c r="F286" s="250" t="s">
        <v>2305</v>
      </c>
      <c r="G286" s="251" t="s">
        <v>1876</v>
      </c>
      <c r="H286" s="252">
        <v>18</v>
      </c>
      <c r="I286" s="253"/>
      <c r="J286" s="254">
        <f t="shared" si="50"/>
        <v>0</v>
      </c>
      <c r="K286" s="255"/>
      <c r="L286" s="256"/>
      <c r="M286" s="257" t="s">
        <v>4</v>
      </c>
      <c r="N286" s="258" t="s">
        <v>1821</v>
      </c>
      <c r="P286" s="259">
        <f t="shared" si="51"/>
        <v>0</v>
      </c>
      <c r="Q286" s="259">
        <v>0</v>
      </c>
      <c r="R286" s="259">
        <f t="shared" si="52"/>
        <v>0</v>
      </c>
      <c r="S286" s="259">
        <v>0</v>
      </c>
      <c r="T286" s="260">
        <f t="shared" si="53"/>
        <v>0</v>
      </c>
      <c r="AR286" s="261" t="s">
        <v>1009</v>
      </c>
      <c r="AT286" s="261" t="s">
        <v>1876</v>
      </c>
      <c r="AU286" s="261" t="s">
        <v>227</v>
      </c>
      <c r="AY286" s="167" t="s">
        <v>1873</v>
      </c>
      <c r="BE286" s="262">
        <f t="shared" si="54"/>
        <v>0</v>
      </c>
      <c r="BF286" s="262">
        <f t="shared" si="55"/>
        <v>0</v>
      </c>
      <c r="BG286" s="262">
        <f t="shared" si="56"/>
        <v>0</v>
      </c>
      <c r="BH286" s="262">
        <f t="shared" si="57"/>
        <v>0</v>
      </c>
      <c r="BI286" s="262">
        <f t="shared" si="58"/>
        <v>0</v>
      </c>
      <c r="BJ286" s="167" t="s">
        <v>219</v>
      </c>
      <c r="BK286" s="262">
        <f t="shared" si="59"/>
        <v>0</v>
      </c>
      <c r="BL286" s="167" t="s">
        <v>127</v>
      </c>
      <c r="BM286" s="261" t="s">
        <v>2306</v>
      </c>
    </row>
    <row r="287" spans="2:65" s="173" customFormat="1" ht="33" customHeight="1" x14ac:dyDescent="0.25">
      <c r="B287" s="247"/>
      <c r="C287" s="263" t="s">
        <v>663</v>
      </c>
      <c r="D287" s="263" t="s">
        <v>1881</v>
      </c>
      <c r="E287" s="264" t="s">
        <v>2307</v>
      </c>
      <c r="F287" s="265" t="s">
        <v>2308</v>
      </c>
      <c r="G287" s="266" t="s">
        <v>333</v>
      </c>
      <c r="H287" s="267">
        <v>130</v>
      </c>
      <c r="I287" s="268"/>
      <c r="J287" s="269">
        <f t="shared" si="50"/>
        <v>0</v>
      </c>
      <c r="K287" s="270"/>
      <c r="L287" s="174"/>
      <c r="M287" s="271" t="s">
        <v>4</v>
      </c>
      <c r="N287" s="272" t="s">
        <v>1821</v>
      </c>
      <c r="P287" s="259">
        <f t="shared" si="51"/>
        <v>0</v>
      </c>
      <c r="Q287" s="259">
        <v>0</v>
      </c>
      <c r="R287" s="259">
        <f t="shared" si="52"/>
        <v>0</v>
      </c>
      <c r="S287" s="259">
        <v>0</v>
      </c>
      <c r="T287" s="260">
        <f t="shared" si="53"/>
        <v>0</v>
      </c>
      <c r="AR287" s="261" t="s">
        <v>127</v>
      </c>
      <c r="AT287" s="261" t="s">
        <v>1881</v>
      </c>
      <c r="AU287" s="261" t="s">
        <v>227</v>
      </c>
      <c r="AY287" s="167" t="s">
        <v>1873</v>
      </c>
      <c r="BE287" s="262">
        <f t="shared" si="54"/>
        <v>0</v>
      </c>
      <c r="BF287" s="262">
        <f t="shared" si="55"/>
        <v>0</v>
      </c>
      <c r="BG287" s="262">
        <f t="shared" si="56"/>
        <v>0</v>
      </c>
      <c r="BH287" s="262">
        <f t="shared" si="57"/>
        <v>0</v>
      </c>
      <c r="BI287" s="262">
        <f t="shared" si="58"/>
        <v>0</v>
      </c>
      <c r="BJ287" s="167" t="s">
        <v>219</v>
      </c>
      <c r="BK287" s="262">
        <f t="shared" si="59"/>
        <v>0</v>
      </c>
      <c r="BL287" s="167" t="s">
        <v>127</v>
      </c>
      <c r="BM287" s="261" t="s">
        <v>2309</v>
      </c>
    </row>
    <row r="288" spans="2:65" s="173" customFormat="1" ht="16.5" customHeight="1" x14ac:dyDescent="0.25">
      <c r="B288" s="247"/>
      <c r="C288" s="248" t="s">
        <v>666</v>
      </c>
      <c r="D288" s="248" t="s">
        <v>1876</v>
      </c>
      <c r="E288" s="249" t="s">
        <v>2310</v>
      </c>
      <c r="F288" s="250" t="s">
        <v>2311</v>
      </c>
      <c r="G288" s="251" t="s">
        <v>333</v>
      </c>
      <c r="H288" s="252">
        <v>130</v>
      </c>
      <c r="I288" s="253"/>
      <c r="J288" s="254">
        <f t="shared" si="50"/>
        <v>0</v>
      </c>
      <c r="K288" s="255"/>
      <c r="L288" s="256"/>
      <c r="M288" s="257" t="s">
        <v>4</v>
      </c>
      <c r="N288" s="258" t="s">
        <v>1821</v>
      </c>
      <c r="P288" s="259">
        <f t="shared" si="51"/>
        <v>0</v>
      </c>
      <c r="Q288" s="259">
        <v>1.6000000000000001E-4</v>
      </c>
      <c r="R288" s="259">
        <f t="shared" si="52"/>
        <v>2.0800000000000003E-2</v>
      </c>
      <c r="S288" s="259">
        <v>0</v>
      </c>
      <c r="T288" s="260">
        <f t="shared" si="53"/>
        <v>0</v>
      </c>
      <c r="AR288" s="261" t="s">
        <v>611</v>
      </c>
      <c r="AT288" s="261" t="s">
        <v>1876</v>
      </c>
      <c r="AU288" s="261" t="s">
        <v>227</v>
      </c>
      <c r="AY288" s="167" t="s">
        <v>1873</v>
      </c>
      <c r="BE288" s="262">
        <f t="shared" si="54"/>
        <v>0</v>
      </c>
      <c r="BF288" s="262">
        <f t="shared" si="55"/>
        <v>0</v>
      </c>
      <c r="BG288" s="262">
        <f t="shared" si="56"/>
        <v>0</v>
      </c>
      <c r="BH288" s="262">
        <f t="shared" si="57"/>
        <v>0</v>
      </c>
      <c r="BI288" s="262">
        <f t="shared" si="58"/>
        <v>0</v>
      </c>
      <c r="BJ288" s="167" t="s">
        <v>219</v>
      </c>
      <c r="BK288" s="262">
        <f t="shared" si="59"/>
        <v>0</v>
      </c>
      <c r="BL288" s="167" t="s">
        <v>611</v>
      </c>
      <c r="BM288" s="261" t="s">
        <v>2312</v>
      </c>
    </row>
    <row r="289" spans="2:65" s="173" customFormat="1" ht="33" customHeight="1" x14ac:dyDescent="0.25">
      <c r="B289" s="247"/>
      <c r="C289" s="263" t="s">
        <v>669</v>
      </c>
      <c r="D289" s="263" t="s">
        <v>1881</v>
      </c>
      <c r="E289" s="264" t="s">
        <v>2313</v>
      </c>
      <c r="F289" s="265" t="s">
        <v>2314</v>
      </c>
      <c r="G289" s="266" t="s">
        <v>333</v>
      </c>
      <c r="H289" s="267">
        <v>1050</v>
      </c>
      <c r="I289" s="268"/>
      <c r="J289" s="269">
        <f t="shared" si="50"/>
        <v>0</v>
      </c>
      <c r="K289" s="270"/>
      <c r="L289" s="174"/>
      <c r="M289" s="271" t="s">
        <v>4</v>
      </c>
      <c r="N289" s="272" t="s">
        <v>1821</v>
      </c>
      <c r="P289" s="259">
        <f t="shared" si="51"/>
        <v>0</v>
      </c>
      <c r="Q289" s="259">
        <v>0</v>
      </c>
      <c r="R289" s="259">
        <f t="shared" si="52"/>
        <v>0</v>
      </c>
      <c r="S289" s="259">
        <v>0</v>
      </c>
      <c r="T289" s="260">
        <f t="shared" si="53"/>
        <v>0</v>
      </c>
      <c r="AR289" s="261" t="s">
        <v>127</v>
      </c>
      <c r="AT289" s="261" t="s">
        <v>1881</v>
      </c>
      <c r="AU289" s="261" t="s">
        <v>227</v>
      </c>
      <c r="AY289" s="167" t="s">
        <v>1873</v>
      </c>
      <c r="BE289" s="262">
        <f t="shared" si="54"/>
        <v>0</v>
      </c>
      <c r="BF289" s="262">
        <f t="shared" si="55"/>
        <v>0</v>
      </c>
      <c r="BG289" s="262">
        <f t="shared" si="56"/>
        <v>0</v>
      </c>
      <c r="BH289" s="262">
        <f t="shared" si="57"/>
        <v>0</v>
      </c>
      <c r="BI289" s="262">
        <f t="shared" si="58"/>
        <v>0</v>
      </c>
      <c r="BJ289" s="167" t="s">
        <v>219</v>
      </c>
      <c r="BK289" s="262">
        <f t="shared" si="59"/>
        <v>0</v>
      </c>
      <c r="BL289" s="167" t="s">
        <v>127</v>
      </c>
      <c r="BM289" s="261" t="s">
        <v>2315</v>
      </c>
    </row>
    <row r="290" spans="2:65" s="173" customFormat="1" ht="16.5" customHeight="1" x14ac:dyDescent="0.25">
      <c r="B290" s="247"/>
      <c r="C290" s="248" t="s">
        <v>672</v>
      </c>
      <c r="D290" s="248" t="s">
        <v>1876</v>
      </c>
      <c r="E290" s="249" t="s">
        <v>2316</v>
      </c>
      <c r="F290" s="250" t="s">
        <v>2317</v>
      </c>
      <c r="G290" s="251" t="s">
        <v>333</v>
      </c>
      <c r="H290" s="252">
        <v>1050</v>
      </c>
      <c r="I290" s="253"/>
      <c r="J290" s="254">
        <f t="shared" si="50"/>
        <v>0</v>
      </c>
      <c r="K290" s="255"/>
      <c r="L290" s="256"/>
      <c r="M290" s="257" t="s">
        <v>4</v>
      </c>
      <c r="N290" s="258" t="s">
        <v>1821</v>
      </c>
      <c r="P290" s="259">
        <f t="shared" si="51"/>
        <v>0</v>
      </c>
      <c r="Q290" s="259">
        <v>1.17E-4</v>
      </c>
      <c r="R290" s="259">
        <f t="shared" si="52"/>
        <v>0.12285</v>
      </c>
      <c r="S290" s="259">
        <v>0</v>
      </c>
      <c r="T290" s="260">
        <f t="shared" si="53"/>
        <v>0</v>
      </c>
      <c r="AR290" s="261" t="s">
        <v>611</v>
      </c>
      <c r="AT290" s="261" t="s">
        <v>1876</v>
      </c>
      <c r="AU290" s="261" t="s">
        <v>227</v>
      </c>
      <c r="AY290" s="167" t="s">
        <v>1873</v>
      </c>
      <c r="BE290" s="262">
        <f t="shared" si="54"/>
        <v>0</v>
      </c>
      <c r="BF290" s="262">
        <f t="shared" si="55"/>
        <v>0</v>
      </c>
      <c r="BG290" s="262">
        <f t="shared" si="56"/>
        <v>0</v>
      </c>
      <c r="BH290" s="262">
        <f t="shared" si="57"/>
        <v>0</v>
      </c>
      <c r="BI290" s="262">
        <f t="shared" si="58"/>
        <v>0</v>
      </c>
      <c r="BJ290" s="167" t="s">
        <v>219</v>
      </c>
      <c r="BK290" s="262">
        <f t="shared" si="59"/>
        <v>0</v>
      </c>
      <c r="BL290" s="167" t="s">
        <v>611</v>
      </c>
      <c r="BM290" s="261" t="s">
        <v>2318</v>
      </c>
    </row>
    <row r="291" spans="2:65" s="173" customFormat="1" ht="33" customHeight="1" x14ac:dyDescent="0.25">
      <c r="B291" s="247"/>
      <c r="C291" s="263" t="s">
        <v>675</v>
      </c>
      <c r="D291" s="263" t="s">
        <v>1881</v>
      </c>
      <c r="E291" s="264" t="s">
        <v>2319</v>
      </c>
      <c r="F291" s="265" t="s">
        <v>2320</v>
      </c>
      <c r="G291" s="266" t="s">
        <v>333</v>
      </c>
      <c r="H291" s="267">
        <v>720</v>
      </c>
      <c r="I291" s="268"/>
      <c r="J291" s="269">
        <f t="shared" si="50"/>
        <v>0</v>
      </c>
      <c r="K291" s="270"/>
      <c r="L291" s="174"/>
      <c r="M291" s="271" t="s">
        <v>4</v>
      </c>
      <c r="N291" s="272" t="s">
        <v>1821</v>
      </c>
      <c r="P291" s="259">
        <f t="shared" si="51"/>
        <v>0</v>
      </c>
      <c r="Q291" s="259">
        <v>0</v>
      </c>
      <c r="R291" s="259">
        <f t="shared" si="52"/>
        <v>0</v>
      </c>
      <c r="S291" s="259">
        <v>0</v>
      </c>
      <c r="T291" s="260">
        <f t="shared" si="53"/>
        <v>0</v>
      </c>
      <c r="AR291" s="261" t="s">
        <v>127</v>
      </c>
      <c r="AT291" s="261" t="s">
        <v>1881</v>
      </c>
      <c r="AU291" s="261" t="s">
        <v>227</v>
      </c>
      <c r="AY291" s="167" t="s">
        <v>1873</v>
      </c>
      <c r="BE291" s="262">
        <f t="shared" si="54"/>
        <v>0</v>
      </c>
      <c r="BF291" s="262">
        <f t="shared" si="55"/>
        <v>0</v>
      </c>
      <c r="BG291" s="262">
        <f t="shared" si="56"/>
        <v>0</v>
      </c>
      <c r="BH291" s="262">
        <f t="shared" si="57"/>
        <v>0</v>
      </c>
      <c r="BI291" s="262">
        <f t="shared" si="58"/>
        <v>0</v>
      </c>
      <c r="BJ291" s="167" t="s">
        <v>219</v>
      </c>
      <c r="BK291" s="262">
        <f t="shared" si="59"/>
        <v>0</v>
      </c>
      <c r="BL291" s="167" t="s">
        <v>127</v>
      </c>
      <c r="BM291" s="261" t="s">
        <v>2321</v>
      </c>
    </row>
    <row r="292" spans="2:65" s="173" customFormat="1" ht="16.5" customHeight="1" x14ac:dyDescent="0.25">
      <c r="B292" s="247"/>
      <c r="C292" s="248" t="s">
        <v>678</v>
      </c>
      <c r="D292" s="248" t="s">
        <v>1876</v>
      </c>
      <c r="E292" s="249" t="s">
        <v>2322</v>
      </c>
      <c r="F292" s="250" t="s">
        <v>2323</v>
      </c>
      <c r="G292" s="251" t="s">
        <v>333</v>
      </c>
      <c r="H292" s="252">
        <v>720</v>
      </c>
      <c r="I292" s="253"/>
      <c r="J292" s="254">
        <f t="shared" si="50"/>
        <v>0</v>
      </c>
      <c r="K292" s="255"/>
      <c r="L292" s="256"/>
      <c r="M292" s="257" t="s">
        <v>4</v>
      </c>
      <c r="N292" s="258" t="s">
        <v>1821</v>
      </c>
      <c r="P292" s="259">
        <f t="shared" si="51"/>
        <v>0</v>
      </c>
      <c r="Q292" s="259">
        <v>1.6699999999999999E-4</v>
      </c>
      <c r="R292" s="259">
        <f t="shared" si="52"/>
        <v>0.12024</v>
      </c>
      <c r="S292" s="259">
        <v>0</v>
      </c>
      <c r="T292" s="260">
        <f t="shared" si="53"/>
        <v>0</v>
      </c>
      <c r="AR292" s="261" t="s">
        <v>611</v>
      </c>
      <c r="AT292" s="261" t="s">
        <v>1876</v>
      </c>
      <c r="AU292" s="261" t="s">
        <v>227</v>
      </c>
      <c r="AY292" s="167" t="s">
        <v>1873</v>
      </c>
      <c r="BE292" s="262">
        <f t="shared" si="54"/>
        <v>0</v>
      </c>
      <c r="BF292" s="262">
        <f t="shared" si="55"/>
        <v>0</v>
      </c>
      <c r="BG292" s="262">
        <f t="shared" si="56"/>
        <v>0</v>
      </c>
      <c r="BH292" s="262">
        <f t="shared" si="57"/>
        <v>0</v>
      </c>
      <c r="BI292" s="262">
        <f t="shared" si="58"/>
        <v>0</v>
      </c>
      <c r="BJ292" s="167" t="s">
        <v>219</v>
      </c>
      <c r="BK292" s="262">
        <f t="shared" si="59"/>
        <v>0</v>
      </c>
      <c r="BL292" s="167" t="s">
        <v>611</v>
      </c>
      <c r="BM292" s="261" t="s">
        <v>2324</v>
      </c>
    </row>
    <row r="293" spans="2:65" s="173" customFormat="1" ht="33" customHeight="1" x14ac:dyDescent="0.25">
      <c r="B293" s="247"/>
      <c r="C293" s="263" t="s">
        <v>681</v>
      </c>
      <c r="D293" s="263" t="s">
        <v>1881</v>
      </c>
      <c r="E293" s="264" t="s">
        <v>2325</v>
      </c>
      <c r="F293" s="265" t="s">
        <v>2326</v>
      </c>
      <c r="G293" s="266" t="s">
        <v>333</v>
      </c>
      <c r="H293" s="267">
        <v>230</v>
      </c>
      <c r="I293" s="268"/>
      <c r="J293" s="269">
        <f t="shared" si="50"/>
        <v>0</v>
      </c>
      <c r="K293" s="270"/>
      <c r="L293" s="174"/>
      <c r="M293" s="271" t="s">
        <v>4</v>
      </c>
      <c r="N293" s="272" t="s">
        <v>1821</v>
      </c>
      <c r="P293" s="259">
        <f t="shared" si="51"/>
        <v>0</v>
      </c>
      <c r="Q293" s="259">
        <v>0</v>
      </c>
      <c r="R293" s="259">
        <f t="shared" si="52"/>
        <v>0</v>
      </c>
      <c r="S293" s="259">
        <v>0</v>
      </c>
      <c r="T293" s="260">
        <f t="shared" si="53"/>
        <v>0</v>
      </c>
      <c r="AR293" s="261" t="s">
        <v>127</v>
      </c>
      <c r="AT293" s="261" t="s">
        <v>1881</v>
      </c>
      <c r="AU293" s="261" t="s">
        <v>227</v>
      </c>
      <c r="AY293" s="167" t="s">
        <v>1873</v>
      </c>
      <c r="BE293" s="262">
        <f t="shared" si="54"/>
        <v>0</v>
      </c>
      <c r="BF293" s="262">
        <f t="shared" si="55"/>
        <v>0</v>
      </c>
      <c r="BG293" s="262">
        <f t="shared" si="56"/>
        <v>0</v>
      </c>
      <c r="BH293" s="262">
        <f t="shared" si="57"/>
        <v>0</v>
      </c>
      <c r="BI293" s="262">
        <f t="shared" si="58"/>
        <v>0</v>
      </c>
      <c r="BJ293" s="167" t="s">
        <v>219</v>
      </c>
      <c r="BK293" s="262">
        <f t="shared" si="59"/>
        <v>0</v>
      </c>
      <c r="BL293" s="167" t="s">
        <v>127</v>
      </c>
      <c r="BM293" s="261" t="s">
        <v>2327</v>
      </c>
    </row>
    <row r="294" spans="2:65" s="173" customFormat="1" ht="16.5" customHeight="1" x14ac:dyDescent="0.25">
      <c r="B294" s="247"/>
      <c r="C294" s="248" t="s">
        <v>684</v>
      </c>
      <c r="D294" s="248" t="s">
        <v>1876</v>
      </c>
      <c r="E294" s="249" t="s">
        <v>2328</v>
      </c>
      <c r="F294" s="250" t="s">
        <v>2329</v>
      </c>
      <c r="G294" s="251" t="s">
        <v>333</v>
      </c>
      <c r="H294" s="252">
        <v>230</v>
      </c>
      <c r="I294" s="253"/>
      <c r="J294" s="254">
        <f t="shared" si="50"/>
        <v>0</v>
      </c>
      <c r="K294" s="255"/>
      <c r="L294" s="256"/>
      <c r="M294" s="257" t="s">
        <v>4</v>
      </c>
      <c r="N294" s="258" t="s">
        <v>1821</v>
      </c>
      <c r="P294" s="259">
        <f t="shared" si="51"/>
        <v>0</v>
      </c>
      <c r="Q294" s="259">
        <v>1.4200000000000001E-4</v>
      </c>
      <c r="R294" s="259">
        <f t="shared" si="52"/>
        <v>3.2660000000000002E-2</v>
      </c>
      <c r="S294" s="259">
        <v>0</v>
      </c>
      <c r="T294" s="260">
        <f t="shared" si="53"/>
        <v>0</v>
      </c>
      <c r="AR294" s="261" t="s">
        <v>611</v>
      </c>
      <c r="AT294" s="261" t="s">
        <v>1876</v>
      </c>
      <c r="AU294" s="261" t="s">
        <v>227</v>
      </c>
      <c r="AY294" s="167" t="s">
        <v>1873</v>
      </c>
      <c r="BE294" s="262">
        <f t="shared" si="54"/>
        <v>0</v>
      </c>
      <c r="BF294" s="262">
        <f t="shared" si="55"/>
        <v>0</v>
      </c>
      <c r="BG294" s="262">
        <f t="shared" si="56"/>
        <v>0</v>
      </c>
      <c r="BH294" s="262">
        <f t="shared" si="57"/>
        <v>0</v>
      </c>
      <c r="BI294" s="262">
        <f t="shared" si="58"/>
        <v>0</v>
      </c>
      <c r="BJ294" s="167" t="s">
        <v>219</v>
      </c>
      <c r="BK294" s="262">
        <f t="shared" si="59"/>
        <v>0</v>
      </c>
      <c r="BL294" s="167" t="s">
        <v>611</v>
      </c>
      <c r="BM294" s="261" t="s">
        <v>2330</v>
      </c>
    </row>
    <row r="295" spans="2:65" s="173" customFormat="1" ht="33" customHeight="1" x14ac:dyDescent="0.25">
      <c r="B295" s="247"/>
      <c r="C295" s="263" t="s">
        <v>687</v>
      </c>
      <c r="D295" s="263" t="s">
        <v>1881</v>
      </c>
      <c r="E295" s="264" t="s">
        <v>2331</v>
      </c>
      <c r="F295" s="265" t="s">
        <v>2332</v>
      </c>
      <c r="G295" s="266" t="s">
        <v>333</v>
      </c>
      <c r="H295" s="267">
        <v>130</v>
      </c>
      <c r="I295" s="268"/>
      <c r="J295" s="269">
        <f t="shared" si="50"/>
        <v>0</v>
      </c>
      <c r="K295" s="270"/>
      <c r="L295" s="174"/>
      <c r="M295" s="271" t="s">
        <v>4</v>
      </c>
      <c r="N295" s="272" t="s">
        <v>1821</v>
      </c>
      <c r="P295" s="259">
        <f t="shared" si="51"/>
        <v>0</v>
      </c>
      <c r="Q295" s="259">
        <v>0</v>
      </c>
      <c r="R295" s="259">
        <f t="shared" si="52"/>
        <v>0</v>
      </c>
      <c r="S295" s="259">
        <v>0</v>
      </c>
      <c r="T295" s="260">
        <f t="shared" si="53"/>
        <v>0</v>
      </c>
      <c r="AR295" s="261" t="s">
        <v>127</v>
      </c>
      <c r="AT295" s="261" t="s">
        <v>1881</v>
      </c>
      <c r="AU295" s="261" t="s">
        <v>227</v>
      </c>
      <c r="AY295" s="167" t="s">
        <v>1873</v>
      </c>
      <c r="BE295" s="262">
        <f t="shared" si="54"/>
        <v>0</v>
      </c>
      <c r="BF295" s="262">
        <f t="shared" si="55"/>
        <v>0</v>
      </c>
      <c r="BG295" s="262">
        <f t="shared" si="56"/>
        <v>0</v>
      </c>
      <c r="BH295" s="262">
        <f t="shared" si="57"/>
        <v>0</v>
      </c>
      <c r="BI295" s="262">
        <f t="shared" si="58"/>
        <v>0</v>
      </c>
      <c r="BJ295" s="167" t="s">
        <v>219</v>
      </c>
      <c r="BK295" s="262">
        <f t="shared" si="59"/>
        <v>0</v>
      </c>
      <c r="BL295" s="167" t="s">
        <v>127</v>
      </c>
      <c r="BM295" s="261" t="s">
        <v>2333</v>
      </c>
    </row>
    <row r="296" spans="2:65" s="173" customFormat="1" ht="16.5" customHeight="1" x14ac:dyDescent="0.25">
      <c r="B296" s="247"/>
      <c r="C296" s="248" t="s">
        <v>690</v>
      </c>
      <c r="D296" s="248" t="s">
        <v>1876</v>
      </c>
      <c r="E296" s="249" t="s">
        <v>2334</v>
      </c>
      <c r="F296" s="250" t="s">
        <v>2335</v>
      </c>
      <c r="G296" s="251" t="s">
        <v>333</v>
      </c>
      <c r="H296" s="252">
        <v>130</v>
      </c>
      <c r="I296" s="253"/>
      <c r="J296" s="254">
        <f t="shared" si="50"/>
        <v>0</v>
      </c>
      <c r="K296" s="255"/>
      <c r="L296" s="256"/>
      <c r="M296" s="257" t="s">
        <v>4</v>
      </c>
      <c r="N296" s="258" t="s">
        <v>1821</v>
      </c>
      <c r="P296" s="259">
        <f t="shared" si="51"/>
        <v>0</v>
      </c>
      <c r="Q296" s="259">
        <v>2.5300000000000002E-4</v>
      </c>
      <c r="R296" s="259">
        <f t="shared" si="52"/>
        <v>3.2890000000000003E-2</v>
      </c>
      <c r="S296" s="259">
        <v>0</v>
      </c>
      <c r="T296" s="260">
        <f t="shared" si="53"/>
        <v>0</v>
      </c>
      <c r="AR296" s="261" t="s">
        <v>611</v>
      </c>
      <c r="AT296" s="261" t="s">
        <v>1876</v>
      </c>
      <c r="AU296" s="261" t="s">
        <v>227</v>
      </c>
      <c r="AY296" s="167" t="s">
        <v>1873</v>
      </c>
      <c r="BE296" s="262">
        <f t="shared" si="54"/>
        <v>0</v>
      </c>
      <c r="BF296" s="262">
        <f t="shared" si="55"/>
        <v>0</v>
      </c>
      <c r="BG296" s="262">
        <f t="shared" si="56"/>
        <v>0</v>
      </c>
      <c r="BH296" s="262">
        <f t="shared" si="57"/>
        <v>0</v>
      </c>
      <c r="BI296" s="262">
        <f t="shared" si="58"/>
        <v>0</v>
      </c>
      <c r="BJ296" s="167" t="s">
        <v>219</v>
      </c>
      <c r="BK296" s="262">
        <f t="shared" si="59"/>
        <v>0</v>
      </c>
      <c r="BL296" s="167" t="s">
        <v>611</v>
      </c>
      <c r="BM296" s="261" t="s">
        <v>2336</v>
      </c>
    </row>
    <row r="297" spans="2:65" s="173" customFormat="1" ht="16.5" customHeight="1" x14ac:dyDescent="0.25">
      <c r="B297" s="247"/>
      <c r="C297" s="263" t="s">
        <v>693</v>
      </c>
      <c r="D297" s="263" t="s">
        <v>1881</v>
      </c>
      <c r="E297" s="264" t="s">
        <v>2337</v>
      </c>
      <c r="F297" s="265" t="s">
        <v>2338</v>
      </c>
      <c r="G297" s="266" t="s">
        <v>1695</v>
      </c>
      <c r="H297" s="267">
        <v>1</v>
      </c>
      <c r="I297" s="268"/>
      <c r="J297" s="269">
        <f t="shared" si="50"/>
        <v>0</v>
      </c>
      <c r="K297" s="270"/>
      <c r="L297" s="174"/>
      <c r="M297" s="271" t="s">
        <v>4</v>
      </c>
      <c r="N297" s="272" t="s">
        <v>1821</v>
      </c>
      <c r="P297" s="259">
        <f t="shared" si="51"/>
        <v>0</v>
      </c>
      <c r="Q297" s="259">
        <v>0</v>
      </c>
      <c r="R297" s="259">
        <f t="shared" si="52"/>
        <v>0</v>
      </c>
      <c r="S297" s="259">
        <v>0</v>
      </c>
      <c r="T297" s="260">
        <f t="shared" si="53"/>
        <v>0</v>
      </c>
      <c r="AR297" s="261" t="s">
        <v>127</v>
      </c>
      <c r="AT297" s="261" t="s">
        <v>1881</v>
      </c>
      <c r="AU297" s="261" t="s">
        <v>227</v>
      </c>
      <c r="AY297" s="167" t="s">
        <v>1873</v>
      </c>
      <c r="BE297" s="262">
        <f t="shared" si="54"/>
        <v>0</v>
      </c>
      <c r="BF297" s="262">
        <f t="shared" si="55"/>
        <v>0</v>
      </c>
      <c r="BG297" s="262">
        <f t="shared" si="56"/>
        <v>0</v>
      </c>
      <c r="BH297" s="262">
        <f t="shared" si="57"/>
        <v>0</v>
      </c>
      <c r="BI297" s="262">
        <f t="shared" si="58"/>
        <v>0</v>
      </c>
      <c r="BJ297" s="167" t="s">
        <v>219</v>
      </c>
      <c r="BK297" s="262">
        <f t="shared" si="59"/>
        <v>0</v>
      </c>
      <c r="BL297" s="167" t="s">
        <v>127</v>
      </c>
      <c r="BM297" s="261" t="s">
        <v>2339</v>
      </c>
    </row>
    <row r="298" spans="2:65" s="173" customFormat="1" ht="16.5" customHeight="1" x14ac:dyDescent="0.25">
      <c r="B298" s="247"/>
      <c r="C298" s="263" t="s">
        <v>696</v>
      </c>
      <c r="D298" s="263" t="s">
        <v>1881</v>
      </c>
      <c r="E298" s="264" t="s">
        <v>2340</v>
      </c>
      <c r="F298" s="265" t="s">
        <v>2341</v>
      </c>
      <c r="G298" s="266" t="s">
        <v>63</v>
      </c>
      <c r="H298" s="273"/>
      <c r="I298" s="268"/>
      <c r="J298" s="269">
        <f t="shared" si="50"/>
        <v>0</v>
      </c>
      <c r="K298" s="270"/>
      <c r="L298" s="174"/>
      <c r="M298" s="271" t="s">
        <v>4</v>
      </c>
      <c r="N298" s="272" t="s">
        <v>1821</v>
      </c>
      <c r="P298" s="259">
        <f t="shared" si="51"/>
        <v>0</v>
      </c>
      <c r="Q298" s="259">
        <v>0</v>
      </c>
      <c r="R298" s="259">
        <f t="shared" si="52"/>
        <v>0</v>
      </c>
      <c r="S298" s="259">
        <v>0</v>
      </c>
      <c r="T298" s="260">
        <f t="shared" si="53"/>
        <v>0</v>
      </c>
      <c r="AR298" s="261" t="s">
        <v>127</v>
      </c>
      <c r="AT298" s="261" t="s">
        <v>1881</v>
      </c>
      <c r="AU298" s="261" t="s">
        <v>227</v>
      </c>
      <c r="AY298" s="167" t="s">
        <v>1873</v>
      </c>
      <c r="BE298" s="262">
        <f t="shared" si="54"/>
        <v>0</v>
      </c>
      <c r="BF298" s="262">
        <f t="shared" si="55"/>
        <v>0</v>
      </c>
      <c r="BG298" s="262">
        <f t="shared" si="56"/>
        <v>0</v>
      </c>
      <c r="BH298" s="262">
        <f t="shared" si="57"/>
        <v>0</v>
      </c>
      <c r="BI298" s="262">
        <f t="shared" si="58"/>
        <v>0</v>
      </c>
      <c r="BJ298" s="167" t="s">
        <v>219</v>
      </c>
      <c r="BK298" s="262">
        <f t="shared" si="59"/>
        <v>0</v>
      </c>
      <c r="BL298" s="167" t="s">
        <v>127</v>
      </c>
      <c r="BM298" s="261" t="s">
        <v>2342</v>
      </c>
    </row>
    <row r="299" spans="2:65" s="173" customFormat="1" ht="16.5" customHeight="1" x14ac:dyDescent="0.25">
      <c r="B299" s="247"/>
      <c r="C299" s="263" t="s">
        <v>699</v>
      </c>
      <c r="D299" s="263" t="s">
        <v>1881</v>
      </c>
      <c r="E299" s="264" t="s">
        <v>2343</v>
      </c>
      <c r="F299" s="265" t="s">
        <v>2344</v>
      </c>
      <c r="G299" s="266" t="s">
        <v>63</v>
      </c>
      <c r="H299" s="273"/>
      <c r="I299" s="268"/>
      <c r="J299" s="269">
        <f t="shared" si="50"/>
        <v>0</v>
      </c>
      <c r="K299" s="270"/>
      <c r="L299" s="174"/>
      <c r="M299" s="271" t="s">
        <v>4</v>
      </c>
      <c r="N299" s="272" t="s">
        <v>1821</v>
      </c>
      <c r="P299" s="259">
        <f t="shared" si="51"/>
        <v>0</v>
      </c>
      <c r="Q299" s="259">
        <v>0</v>
      </c>
      <c r="R299" s="259">
        <f t="shared" si="52"/>
        <v>0</v>
      </c>
      <c r="S299" s="259">
        <v>0</v>
      </c>
      <c r="T299" s="260">
        <f t="shared" si="53"/>
        <v>0</v>
      </c>
      <c r="AR299" s="261" t="s">
        <v>611</v>
      </c>
      <c r="AT299" s="261" t="s">
        <v>1881</v>
      </c>
      <c r="AU299" s="261" t="s">
        <v>227</v>
      </c>
      <c r="AY299" s="167" t="s">
        <v>1873</v>
      </c>
      <c r="BE299" s="262">
        <f t="shared" si="54"/>
        <v>0</v>
      </c>
      <c r="BF299" s="262">
        <f t="shared" si="55"/>
        <v>0</v>
      </c>
      <c r="BG299" s="262">
        <f t="shared" si="56"/>
        <v>0</v>
      </c>
      <c r="BH299" s="262">
        <f t="shared" si="57"/>
        <v>0</v>
      </c>
      <c r="BI299" s="262">
        <f t="shared" si="58"/>
        <v>0</v>
      </c>
      <c r="BJ299" s="167" t="s">
        <v>219</v>
      </c>
      <c r="BK299" s="262">
        <f t="shared" si="59"/>
        <v>0</v>
      </c>
      <c r="BL299" s="167" t="s">
        <v>611</v>
      </c>
      <c r="BM299" s="261" t="s">
        <v>2345</v>
      </c>
    </row>
    <row r="300" spans="2:65" s="173" customFormat="1" ht="16.5" customHeight="1" x14ac:dyDescent="0.25">
      <c r="B300" s="247"/>
      <c r="C300" s="263" t="s">
        <v>702</v>
      </c>
      <c r="D300" s="263" t="s">
        <v>1881</v>
      </c>
      <c r="E300" s="264" t="s">
        <v>2346</v>
      </c>
      <c r="F300" s="265" t="s">
        <v>2347</v>
      </c>
      <c r="G300" s="266" t="s">
        <v>63</v>
      </c>
      <c r="H300" s="273"/>
      <c r="I300" s="268"/>
      <c r="J300" s="269">
        <f t="shared" si="50"/>
        <v>0</v>
      </c>
      <c r="K300" s="270"/>
      <c r="L300" s="174"/>
      <c r="M300" s="271" t="s">
        <v>4</v>
      </c>
      <c r="N300" s="272" t="s">
        <v>1821</v>
      </c>
      <c r="P300" s="259">
        <f t="shared" si="51"/>
        <v>0</v>
      </c>
      <c r="Q300" s="259">
        <v>0</v>
      </c>
      <c r="R300" s="259">
        <f t="shared" si="52"/>
        <v>0</v>
      </c>
      <c r="S300" s="259">
        <v>0</v>
      </c>
      <c r="T300" s="260">
        <f t="shared" si="53"/>
        <v>0</v>
      </c>
      <c r="AR300" s="261" t="s">
        <v>127</v>
      </c>
      <c r="AT300" s="261" t="s">
        <v>1881</v>
      </c>
      <c r="AU300" s="261" t="s">
        <v>227</v>
      </c>
      <c r="AY300" s="167" t="s">
        <v>1873</v>
      </c>
      <c r="BE300" s="262">
        <f t="shared" si="54"/>
        <v>0</v>
      </c>
      <c r="BF300" s="262">
        <f t="shared" si="55"/>
        <v>0</v>
      </c>
      <c r="BG300" s="262">
        <f t="shared" si="56"/>
        <v>0</v>
      </c>
      <c r="BH300" s="262">
        <f t="shared" si="57"/>
        <v>0</v>
      </c>
      <c r="BI300" s="262">
        <f t="shared" si="58"/>
        <v>0</v>
      </c>
      <c r="BJ300" s="167" t="s">
        <v>219</v>
      </c>
      <c r="BK300" s="262">
        <f t="shared" si="59"/>
        <v>0</v>
      </c>
      <c r="BL300" s="167" t="s">
        <v>127</v>
      </c>
      <c r="BM300" s="261" t="s">
        <v>2348</v>
      </c>
    </row>
    <row r="301" spans="2:65" s="173" customFormat="1" ht="16.5" customHeight="1" x14ac:dyDescent="0.25">
      <c r="B301" s="247"/>
      <c r="C301" s="263" t="s">
        <v>707</v>
      </c>
      <c r="D301" s="263" t="s">
        <v>1881</v>
      </c>
      <c r="E301" s="264" t="s">
        <v>2349</v>
      </c>
      <c r="F301" s="265" t="s">
        <v>2350</v>
      </c>
      <c r="G301" s="266" t="s">
        <v>63</v>
      </c>
      <c r="H301" s="273"/>
      <c r="I301" s="268"/>
      <c r="J301" s="269">
        <f t="shared" si="50"/>
        <v>0</v>
      </c>
      <c r="K301" s="270"/>
      <c r="L301" s="174"/>
      <c r="M301" s="271" t="s">
        <v>4</v>
      </c>
      <c r="N301" s="272" t="s">
        <v>1821</v>
      </c>
      <c r="P301" s="259">
        <f t="shared" si="51"/>
        <v>0</v>
      </c>
      <c r="Q301" s="259">
        <v>0</v>
      </c>
      <c r="R301" s="259">
        <f t="shared" si="52"/>
        <v>0</v>
      </c>
      <c r="S301" s="259">
        <v>0</v>
      </c>
      <c r="T301" s="260">
        <f t="shared" si="53"/>
        <v>0</v>
      </c>
      <c r="AR301" s="261" t="s">
        <v>127</v>
      </c>
      <c r="AT301" s="261" t="s">
        <v>1881</v>
      </c>
      <c r="AU301" s="261" t="s">
        <v>227</v>
      </c>
      <c r="AY301" s="167" t="s">
        <v>1873</v>
      </c>
      <c r="BE301" s="262">
        <f t="shared" si="54"/>
        <v>0</v>
      </c>
      <c r="BF301" s="262">
        <f t="shared" si="55"/>
        <v>0</v>
      </c>
      <c r="BG301" s="262">
        <f t="shared" si="56"/>
        <v>0</v>
      </c>
      <c r="BH301" s="262">
        <f t="shared" si="57"/>
        <v>0</v>
      </c>
      <c r="BI301" s="262">
        <f t="shared" si="58"/>
        <v>0</v>
      </c>
      <c r="BJ301" s="167" t="s">
        <v>219</v>
      </c>
      <c r="BK301" s="262">
        <f t="shared" si="59"/>
        <v>0</v>
      </c>
      <c r="BL301" s="167" t="s">
        <v>127</v>
      </c>
      <c r="BM301" s="261" t="s">
        <v>2351</v>
      </c>
    </row>
    <row r="302" spans="2:65" s="234" customFormat="1" ht="22.9" customHeight="1" x14ac:dyDescent="0.2">
      <c r="B302" s="235"/>
      <c r="D302" s="236" t="s">
        <v>1870</v>
      </c>
      <c r="E302" s="245" t="s">
        <v>2352</v>
      </c>
      <c r="F302" s="245" t="s">
        <v>2353</v>
      </c>
      <c r="I302" s="238"/>
      <c r="J302" s="246">
        <f>BK302</f>
        <v>0</v>
      </c>
      <c r="L302" s="235"/>
      <c r="M302" s="240"/>
      <c r="P302" s="241">
        <f>SUM(P303:P340)</f>
        <v>0</v>
      </c>
      <c r="R302" s="241">
        <f>SUM(R303:R340)</f>
        <v>5.2000000000000006E-4</v>
      </c>
      <c r="T302" s="242">
        <f>SUM(T303:T340)</f>
        <v>0</v>
      </c>
      <c r="AR302" s="236" t="s">
        <v>230</v>
      </c>
      <c r="AT302" s="243" t="s">
        <v>1870</v>
      </c>
      <c r="AU302" s="243" t="s">
        <v>219</v>
      </c>
      <c r="AY302" s="236" t="s">
        <v>1873</v>
      </c>
      <c r="BK302" s="244">
        <f>SUM(BK303:BK340)</f>
        <v>0</v>
      </c>
    </row>
    <row r="303" spans="2:65" s="173" customFormat="1" ht="37.9" customHeight="1" x14ac:dyDescent="0.25">
      <c r="B303" s="247"/>
      <c r="C303" s="263" t="s">
        <v>710</v>
      </c>
      <c r="D303" s="263" t="s">
        <v>1881</v>
      </c>
      <c r="E303" s="264" t="s">
        <v>2354</v>
      </c>
      <c r="F303" s="265" t="s">
        <v>2355</v>
      </c>
      <c r="G303" s="266" t="s">
        <v>333</v>
      </c>
      <c r="H303" s="267">
        <v>50</v>
      </c>
      <c r="I303" s="268"/>
      <c r="J303" s="269">
        <f t="shared" ref="J303:J340" si="60">ROUND(I303*H303,2)</f>
        <v>0</v>
      </c>
      <c r="K303" s="270"/>
      <c r="L303" s="174"/>
      <c r="M303" s="271" t="s">
        <v>4</v>
      </c>
      <c r="N303" s="272" t="s">
        <v>1821</v>
      </c>
      <c r="P303" s="259">
        <f t="shared" ref="P303:P340" si="61">O303*H303</f>
        <v>0</v>
      </c>
      <c r="Q303" s="259">
        <v>0</v>
      </c>
      <c r="R303" s="259">
        <f t="shared" ref="R303:R340" si="62">Q303*H303</f>
        <v>0</v>
      </c>
      <c r="S303" s="259">
        <v>0</v>
      </c>
      <c r="T303" s="260">
        <f t="shared" ref="T303:T340" si="63">S303*H303</f>
        <v>0</v>
      </c>
      <c r="AR303" s="261" t="s">
        <v>127</v>
      </c>
      <c r="AT303" s="261" t="s">
        <v>1881</v>
      </c>
      <c r="AU303" s="261" t="s">
        <v>227</v>
      </c>
      <c r="AY303" s="167" t="s">
        <v>1873</v>
      </c>
      <c r="BE303" s="262">
        <f t="shared" ref="BE303:BE340" si="64">IF(N303="základní",J303,0)</f>
        <v>0</v>
      </c>
      <c r="BF303" s="262">
        <f t="shared" ref="BF303:BF340" si="65">IF(N303="snížená",J303,0)</f>
        <v>0</v>
      </c>
      <c r="BG303" s="262">
        <f t="shared" ref="BG303:BG340" si="66">IF(N303="zákl. přenesená",J303,0)</f>
        <v>0</v>
      </c>
      <c r="BH303" s="262">
        <f t="shared" ref="BH303:BH340" si="67">IF(N303="sníž. přenesená",J303,0)</f>
        <v>0</v>
      </c>
      <c r="BI303" s="262">
        <f t="shared" ref="BI303:BI340" si="68">IF(N303="nulová",J303,0)</f>
        <v>0</v>
      </c>
      <c r="BJ303" s="167" t="s">
        <v>219</v>
      </c>
      <c r="BK303" s="262">
        <f t="shared" ref="BK303:BK340" si="69">ROUND(I303*H303,2)</f>
        <v>0</v>
      </c>
      <c r="BL303" s="167" t="s">
        <v>127</v>
      </c>
      <c r="BM303" s="261" t="s">
        <v>2356</v>
      </c>
    </row>
    <row r="304" spans="2:65" s="173" customFormat="1" ht="16.5" customHeight="1" x14ac:dyDescent="0.25">
      <c r="B304" s="247"/>
      <c r="C304" s="248" t="s">
        <v>714</v>
      </c>
      <c r="D304" s="248" t="s">
        <v>1876</v>
      </c>
      <c r="E304" s="249" t="s">
        <v>2357</v>
      </c>
      <c r="F304" s="250" t="s">
        <v>2358</v>
      </c>
      <c r="G304" s="251" t="s">
        <v>1876</v>
      </c>
      <c r="H304" s="252">
        <v>50</v>
      </c>
      <c r="I304" s="253"/>
      <c r="J304" s="254">
        <f t="shared" si="60"/>
        <v>0</v>
      </c>
      <c r="K304" s="255"/>
      <c r="L304" s="256"/>
      <c r="M304" s="257" t="s">
        <v>4</v>
      </c>
      <c r="N304" s="258" t="s">
        <v>1821</v>
      </c>
      <c r="P304" s="259">
        <f t="shared" si="61"/>
        <v>0</v>
      </c>
      <c r="Q304" s="259">
        <v>0</v>
      </c>
      <c r="R304" s="259">
        <f t="shared" si="62"/>
        <v>0</v>
      </c>
      <c r="S304" s="259">
        <v>0</v>
      </c>
      <c r="T304" s="260">
        <f t="shared" si="63"/>
        <v>0</v>
      </c>
      <c r="AR304" s="261" t="s">
        <v>1009</v>
      </c>
      <c r="AT304" s="261" t="s">
        <v>1876</v>
      </c>
      <c r="AU304" s="261" t="s">
        <v>227</v>
      </c>
      <c r="AY304" s="167" t="s">
        <v>1873</v>
      </c>
      <c r="BE304" s="262">
        <f t="shared" si="64"/>
        <v>0</v>
      </c>
      <c r="BF304" s="262">
        <f t="shared" si="65"/>
        <v>0</v>
      </c>
      <c r="BG304" s="262">
        <f t="shared" si="66"/>
        <v>0</v>
      </c>
      <c r="BH304" s="262">
        <f t="shared" si="67"/>
        <v>0</v>
      </c>
      <c r="BI304" s="262">
        <f t="shared" si="68"/>
        <v>0</v>
      </c>
      <c r="BJ304" s="167" t="s">
        <v>219</v>
      </c>
      <c r="BK304" s="262">
        <f t="shared" si="69"/>
        <v>0</v>
      </c>
      <c r="BL304" s="167" t="s">
        <v>127</v>
      </c>
      <c r="BM304" s="261" t="s">
        <v>2359</v>
      </c>
    </row>
    <row r="305" spans="2:65" s="173" customFormat="1" ht="16.5" customHeight="1" x14ac:dyDescent="0.25">
      <c r="B305" s="247"/>
      <c r="C305" s="263" t="s">
        <v>717</v>
      </c>
      <c r="D305" s="263" t="s">
        <v>1881</v>
      </c>
      <c r="E305" s="264" t="s">
        <v>2360</v>
      </c>
      <c r="F305" s="265" t="s">
        <v>2361</v>
      </c>
      <c r="G305" s="266" t="s">
        <v>329</v>
      </c>
      <c r="H305" s="267">
        <v>1</v>
      </c>
      <c r="I305" s="268"/>
      <c r="J305" s="269">
        <f t="shared" si="60"/>
        <v>0</v>
      </c>
      <c r="K305" s="270"/>
      <c r="L305" s="174"/>
      <c r="M305" s="271" t="s">
        <v>4</v>
      </c>
      <c r="N305" s="272" t="s">
        <v>1821</v>
      </c>
      <c r="P305" s="259">
        <f t="shared" si="61"/>
        <v>0</v>
      </c>
      <c r="Q305" s="259">
        <v>3.4000000000000002E-4</v>
      </c>
      <c r="R305" s="259">
        <f t="shared" si="62"/>
        <v>3.4000000000000002E-4</v>
      </c>
      <c r="S305" s="259">
        <v>0</v>
      </c>
      <c r="T305" s="260">
        <f t="shared" si="63"/>
        <v>0</v>
      </c>
      <c r="AR305" s="261" t="s">
        <v>127</v>
      </c>
      <c r="AT305" s="261" t="s">
        <v>1881</v>
      </c>
      <c r="AU305" s="261" t="s">
        <v>227</v>
      </c>
      <c r="AY305" s="167" t="s">
        <v>1873</v>
      </c>
      <c r="BE305" s="262">
        <f t="shared" si="64"/>
        <v>0</v>
      </c>
      <c r="BF305" s="262">
        <f t="shared" si="65"/>
        <v>0</v>
      </c>
      <c r="BG305" s="262">
        <f t="shared" si="66"/>
        <v>0</v>
      </c>
      <c r="BH305" s="262">
        <f t="shared" si="67"/>
        <v>0</v>
      </c>
      <c r="BI305" s="262">
        <f t="shared" si="68"/>
        <v>0</v>
      </c>
      <c r="BJ305" s="167" t="s">
        <v>219</v>
      </c>
      <c r="BK305" s="262">
        <f t="shared" si="69"/>
        <v>0</v>
      </c>
      <c r="BL305" s="167" t="s">
        <v>127</v>
      </c>
      <c r="BM305" s="261" t="s">
        <v>2362</v>
      </c>
    </row>
    <row r="306" spans="2:65" s="173" customFormat="1" ht="16.5" customHeight="1" x14ac:dyDescent="0.25">
      <c r="B306" s="247"/>
      <c r="C306" s="263" t="s">
        <v>720</v>
      </c>
      <c r="D306" s="263" t="s">
        <v>1881</v>
      </c>
      <c r="E306" s="264" t="s">
        <v>2363</v>
      </c>
      <c r="F306" s="265" t="s">
        <v>2364</v>
      </c>
      <c r="G306" s="266" t="s">
        <v>333</v>
      </c>
      <c r="H306" s="267">
        <v>280</v>
      </c>
      <c r="I306" s="268"/>
      <c r="J306" s="269">
        <f t="shared" si="60"/>
        <v>0</v>
      </c>
      <c r="K306" s="270"/>
      <c r="L306" s="174"/>
      <c r="M306" s="271" t="s">
        <v>4</v>
      </c>
      <c r="N306" s="272" t="s">
        <v>1821</v>
      </c>
      <c r="P306" s="259">
        <f t="shared" si="61"/>
        <v>0</v>
      </c>
      <c r="Q306" s="259">
        <v>0</v>
      </c>
      <c r="R306" s="259">
        <f t="shared" si="62"/>
        <v>0</v>
      </c>
      <c r="S306" s="259">
        <v>0</v>
      </c>
      <c r="T306" s="260">
        <f t="shared" si="63"/>
        <v>0</v>
      </c>
      <c r="AR306" s="261" t="s">
        <v>127</v>
      </c>
      <c r="AT306" s="261" t="s">
        <v>1881</v>
      </c>
      <c r="AU306" s="261" t="s">
        <v>227</v>
      </c>
      <c r="AY306" s="167" t="s">
        <v>1873</v>
      </c>
      <c r="BE306" s="262">
        <f t="shared" si="64"/>
        <v>0</v>
      </c>
      <c r="BF306" s="262">
        <f t="shared" si="65"/>
        <v>0</v>
      </c>
      <c r="BG306" s="262">
        <f t="shared" si="66"/>
        <v>0</v>
      </c>
      <c r="BH306" s="262">
        <f t="shared" si="67"/>
        <v>0</v>
      </c>
      <c r="BI306" s="262">
        <f t="shared" si="68"/>
        <v>0</v>
      </c>
      <c r="BJ306" s="167" t="s">
        <v>219</v>
      </c>
      <c r="BK306" s="262">
        <f t="shared" si="69"/>
        <v>0</v>
      </c>
      <c r="BL306" s="167" t="s">
        <v>127</v>
      </c>
      <c r="BM306" s="261" t="s">
        <v>2365</v>
      </c>
    </row>
    <row r="307" spans="2:65" s="173" customFormat="1" ht="16.5" customHeight="1" x14ac:dyDescent="0.25">
      <c r="B307" s="247"/>
      <c r="C307" s="248" t="s">
        <v>723</v>
      </c>
      <c r="D307" s="248" t="s">
        <v>1876</v>
      </c>
      <c r="E307" s="249" t="s">
        <v>2366</v>
      </c>
      <c r="F307" s="250" t="s">
        <v>2367</v>
      </c>
      <c r="G307" s="251" t="s">
        <v>1876</v>
      </c>
      <c r="H307" s="252">
        <v>280</v>
      </c>
      <c r="I307" s="253"/>
      <c r="J307" s="254">
        <f t="shared" si="60"/>
        <v>0</v>
      </c>
      <c r="K307" s="255"/>
      <c r="L307" s="256"/>
      <c r="M307" s="257" t="s">
        <v>4</v>
      </c>
      <c r="N307" s="258" t="s">
        <v>1821</v>
      </c>
      <c r="P307" s="259">
        <f t="shared" si="61"/>
        <v>0</v>
      </c>
      <c r="Q307" s="259">
        <v>0</v>
      </c>
      <c r="R307" s="259">
        <f t="shared" si="62"/>
        <v>0</v>
      </c>
      <c r="S307" s="259">
        <v>0</v>
      </c>
      <c r="T307" s="260">
        <f t="shared" si="63"/>
        <v>0</v>
      </c>
      <c r="AR307" s="261" t="s">
        <v>1009</v>
      </c>
      <c r="AT307" s="261" t="s">
        <v>1876</v>
      </c>
      <c r="AU307" s="261" t="s">
        <v>227</v>
      </c>
      <c r="AY307" s="167" t="s">
        <v>1873</v>
      </c>
      <c r="BE307" s="262">
        <f t="shared" si="64"/>
        <v>0</v>
      </c>
      <c r="BF307" s="262">
        <f t="shared" si="65"/>
        <v>0</v>
      </c>
      <c r="BG307" s="262">
        <f t="shared" si="66"/>
        <v>0</v>
      </c>
      <c r="BH307" s="262">
        <f t="shared" si="67"/>
        <v>0</v>
      </c>
      <c r="BI307" s="262">
        <f t="shared" si="68"/>
        <v>0</v>
      </c>
      <c r="BJ307" s="167" t="s">
        <v>219</v>
      </c>
      <c r="BK307" s="262">
        <f t="shared" si="69"/>
        <v>0</v>
      </c>
      <c r="BL307" s="167" t="s">
        <v>127</v>
      </c>
      <c r="BM307" s="261" t="s">
        <v>2368</v>
      </c>
    </row>
    <row r="308" spans="2:65" s="173" customFormat="1" ht="16.5" customHeight="1" x14ac:dyDescent="0.25">
      <c r="B308" s="247"/>
      <c r="C308" s="263" t="s">
        <v>726</v>
      </c>
      <c r="D308" s="263" t="s">
        <v>1881</v>
      </c>
      <c r="E308" s="264" t="s">
        <v>2369</v>
      </c>
      <c r="F308" s="265" t="s">
        <v>2364</v>
      </c>
      <c r="G308" s="266" t="s">
        <v>333</v>
      </c>
      <c r="H308" s="267">
        <v>60</v>
      </c>
      <c r="I308" s="268"/>
      <c r="J308" s="269">
        <f t="shared" si="60"/>
        <v>0</v>
      </c>
      <c r="K308" s="270"/>
      <c r="L308" s="174"/>
      <c r="M308" s="271" t="s">
        <v>4</v>
      </c>
      <c r="N308" s="272" t="s">
        <v>1821</v>
      </c>
      <c r="P308" s="259">
        <f t="shared" si="61"/>
        <v>0</v>
      </c>
      <c r="Q308" s="259">
        <v>0</v>
      </c>
      <c r="R308" s="259">
        <f t="shared" si="62"/>
        <v>0</v>
      </c>
      <c r="S308" s="259">
        <v>0</v>
      </c>
      <c r="T308" s="260">
        <f t="shared" si="63"/>
        <v>0</v>
      </c>
      <c r="AR308" s="261" t="s">
        <v>127</v>
      </c>
      <c r="AT308" s="261" t="s">
        <v>1881</v>
      </c>
      <c r="AU308" s="261" t="s">
        <v>227</v>
      </c>
      <c r="AY308" s="167" t="s">
        <v>1873</v>
      </c>
      <c r="BE308" s="262">
        <f t="shared" si="64"/>
        <v>0</v>
      </c>
      <c r="BF308" s="262">
        <f t="shared" si="65"/>
        <v>0</v>
      </c>
      <c r="BG308" s="262">
        <f t="shared" si="66"/>
        <v>0</v>
      </c>
      <c r="BH308" s="262">
        <f t="shared" si="67"/>
        <v>0</v>
      </c>
      <c r="BI308" s="262">
        <f t="shared" si="68"/>
        <v>0</v>
      </c>
      <c r="BJ308" s="167" t="s">
        <v>219</v>
      </c>
      <c r="BK308" s="262">
        <f t="shared" si="69"/>
        <v>0</v>
      </c>
      <c r="BL308" s="167" t="s">
        <v>127</v>
      </c>
      <c r="BM308" s="261" t="s">
        <v>2370</v>
      </c>
    </row>
    <row r="309" spans="2:65" s="173" customFormat="1" ht="24.2" customHeight="1" x14ac:dyDescent="0.25">
      <c r="B309" s="247"/>
      <c r="C309" s="248" t="s">
        <v>729</v>
      </c>
      <c r="D309" s="248" t="s">
        <v>1876</v>
      </c>
      <c r="E309" s="249" t="s">
        <v>2371</v>
      </c>
      <c r="F309" s="250" t="s">
        <v>2372</v>
      </c>
      <c r="G309" s="251" t="s">
        <v>1876</v>
      </c>
      <c r="H309" s="252">
        <v>60</v>
      </c>
      <c r="I309" s="253"/>
      <c r="J309" s="254">
        <f t="shared" si="60"/>
        <v>0</v>
      </c>
      <c r="K309" s="255"/>
      <c r="L309" s="256"/>
      <c r="M309" s="257" t="s">
        <v>4</v>
      </c>
      <c r="N309" s="258" t="s">
        <v>1821</v>
      </c>
      <c r="P309" s="259">
        <f t="shared" si="61"/>
        <v>0</v>
      </c>
      <c r="Q309" s="259">
        <v>0</v>
      </c>
      <c r="R309" s="259">
        <f t="shared" si="62"/>
        <v>0</v>
      </c>
      <c r="S309" s="259">
        <v>0</v>
      </c>
      <c r="T309" s="260">
        <f t="shared" si="63"/>
        <v>0</v>
      </c>
      <c r="AR309" s="261" t="s">
        <v>1009</v>
      </c>
      <c r="AT309" s="261" t="s">
        <v>1876</v>
      </c>
      <c r="AU309" s="261" t="s">
        <v>227</v>
      </c>
      <c r="AY309" s="167" t="s">
        <v>1873</v>
      </c>
      <c r="BE309" s="262">
        <f t="shared" si="64"/>
        <v>0</v>
      </c>
      <c r="BF309" s="262">
        <f t="shared" si="65"/>
        <v>0</v>
      </c>
      <c r="BG309" s="262">
        <f t="shared" si="66"/>
        <v>0</v>
      </c>
      <c r="BH309" s="262">
        <f t="shared" si="67"/>
        <v>0</v>
      </c>
      <c r="BI309" s="262">
        <f t="shared" si="68"/>
        <v>0</v>
      </c>
      <c r="BJ309" s="167" t="s">
        <v>219</v>
      </c>
      <c r="BK309" s="262">
        <f t="shared" si="69"/>
        <v>0</v>
      </c>
      <c r="BL309" s="167" t="s">
        <v>127</v>
      </c>
      <c r="BM309" s="261" t="s">
        <v>2373</v>
      </c>
    </row>
    <row r="310" spans="2:65" s="173" customFormat="1" ht="24.2" customHeight="1" x14ac:dyDescent="0.25">
      <c r="B310" s="247"/>
      <c r="C310" s="263" t="s">
        <v>732</v>
      </c>
      <c r="D310" s="263" t="s">
        <v>1881</v>
      </c>
      <c r="E310" s="264" t="s">
        <v>2374</v>
      </c>
      <c r="F310" s="265" t="s">
        <v>2375</v>
      </c>
      <c r="G310" s="266" t="s">
        <v>333</v>
      </c>
      <c r="H310" s="267">
        <v>30</v>
      </c>
      <c r="I310" s="268"/>
      <c r="J310" s="269">
        <f t="shared" si="60"/>
        <v>0</v>
      </c>
      <c r="K310" s="270"/>
      <c r="L310" s="174"/>
      <c r="M310" s="271" t="s">
        <v>4</v>
      </c>
      <c r="N310" s="272" t="s">
        <v>1821</v>
      </c>
      <c r="P310" s="259">
        <f t="shared" si="61"/>
        <v>0</v>
      </c>
      <c r="Q310" s="259">
        <v>0</v>
      </c>
      <c r="R310" s="259">
        <f t="shared" si="62"/>
        <v>0</v>
      </c>
      <c r="S310" s="259">
        <v>0</v>
      </c>
      <c r="T310" s="260">
        <f t="shared" si="63"/>
        <v>0</v>
      </c>
      <c r="AR310" s="261" t="s">
        <v>127</v>
      </c>
      <c r="AT310" s="261" t="s">
        <v>1881</v>
      </c>
      <c r="AU310" s="261" t="s">
        <v>227</v>
      </c>
      <c r="AY310" s="167" t="s">
        <v>1873</v>
      </c>
      <c r="BE310" s="262">
        <f t="shared" si="64"/>
        <v>0</v>
      </c>
      <c r="BF310" s="262">
        <f t="shared" si="65"/>
        <v>0</v>
      </c>
      <c r="BG310" s="262">
        <f t="shared" si="66"/>
        <v>0</v>
      </c>
      <c r="BH310" s="262">
        <f t="shared" si="67"/>
        <v>0</v>
      </c>
      <c r="BI310" s="262">
        <f t="shared" si="68"/>
        <v>0</v>
      </c>
      <c r="BJ310" s="167" t="s">
        <v>219</v>
      </c>
      <c r="BK310" s="262">
        <f t="shared" si="69"/>
        <v>0</v>
      </c>
      <c r="BL310" s="167" t="s">
        <v>127</v>
      </c>
      <c r="BM310" s="261" t="s">
        <v>2376</v>
      </c>
    </row>
    <row r="311" spans="2:65" s="173" customFormat="1" ht="16.5" customHeight="1" x14ac:dyDescent="0.25">
      <c r="B311" s="247"/>
      <c r="C311" s="248" t="s">
        <v>735</v>
      </c>
      <c r="D311" s="248" t="s">
        <v>1876</v>
      </c>
      <c r="E311" s="249" t="s">
        <v>2377</v>
      </c>
      <c r="F311" s="250" t="s">
        <v>2378</v>
      </c>
      <c r="G311" s="251" t="s">
        <v>1876</v>
      </c>
      <c r="H311" s="252">
        <v>30</v>
      </c>
      <c r="I311" s="253"/>
      <c r="J311" s="254">
        <f t="shared" si="60"/>
        <v>0</v>
      </c>
      <c r="K311" s="255"/>
      <c r="L311" s="256"/>
      <c r="M311" s="257" t="s">
        <v>4</v>
      </c>
      <c r="N311" s="258" t="s">
        <v>1821</v>
      </c>
      <c r="P311" s="259">
        <f t="shared" si="61"/>
        <v>0</v>
      </c>
      <c r="Q311" s="259">
        <v>0</v>
      </c>
      <c r="R311" s="259">
        <f t="shared" si="62"/>
        <v>0</v>
      </c>
      <c r="S311" s="259">
        <v>0</v>
      </c>
      <c r="T311" s="260">
        <f t="shared" si="63"/>
        <v>0</v>
      </c>
      <c r="AR311" s="261" t="s">
        <v>1009</v>
      </c>
      <c r="AT311" s="261" t="s">
        <v>1876</v>
      </c>
      <c r="AU311" s="261" t="s">
        <v>227</v>
      </c>
      <c r="AY311" s="167" t="s">
        <v>1873</v>
      </c>
      <c r="BE311" s="262">
        <f t="shared" si="64"/>
        <v>0</v>
      </c>
      <c r="BF311" s="262">
        <f t="shared" si="65"/>
        <v>0</v>
      </c>
      <c r="BG311" s="262">
        <f t="shared" si="66"/>
        <v>0</v>
      </c>
      <c r="BH311" s="262">
        <f t="shared" si="67"/>
        <v>0</v>
      </c>
      <c r="BI311" s="262">
        <f t="shared" si="68"/>
        <v>0</v>
      </c>
      <c r="BJ311" s="167" t="s">
        <v>219</v>
      </c>
      <c r="BK311" s="262">
        <f t="shared" si="69"/>
        <v>0</v>
      </c>
      <c r="BL311" s="167" t="s">
        <v>127</v>
      </c>
      <c r="BM311" s="261" t="s">
        <v>2379</v>
      </c>
    </row>
    <row r="312" spans="2:65" s="173" customFormat="1" ht="16.5" customHeight="1" x14ac:dyDescent="0.25">
      <c r="B312" s="247"/>
      <c r="C312" s="263" t="s">
        <v>738</v>
      </c>
      <c r="D312" s="263" t="s">
        <v>1881</v>
      </c>
      <c r="E312" s="264" t="s">
        <v>2380</v>
      </c>
      <c r="F312" s="265" t="s">
        <v>2381</v>
      </c>
      <c r="G312" s="266" t="s">
        <v>333</v>
      </c>
      <c r="H312" s="267">
        <v>210</v>
      </c>
      <c r="I312" s="268"/>
      <c r="J312" s="269">
        <f t="shared" si="60"/>
        <v>0</v>
      </c>
      <c r="K312" s="270"/>
      <c r="L312" s="174"/>
      <c r="M312" s="271" t="s">
        <v>4</v>
      </c>
      <c r="N312" s="272" t="s">
        <v>1821</v>
      </c>
      <c r="P312" s="259">
        <f t="shared" si="61"/>
        <v>0</v>
      </c>
      <c r="Q312" s="259">
        <v>0</v>
      </c>
      <c r="R312" s="259">
        <f t="shared" si="62"/>
        <v>0</v>
      </c>
      <c r="S312" s="259">
        <v>0</v>
      </c>
      <c r="T312" s="260">
        <f t="shared" si="63"/>
        <v>0</v>
      </c>
      <c r="AR312" s="261" t="s">
        <v>127</v>
      </c>
      <c r="AT312" s="261" t="s">
        <v>1881</v>
      </c>
      <c r="AU312" s="261" t="s">
        <v>227</v>
      </c>
      <c r="AY312" s="167" t="s">
        <v>1873</v>
      </c>
      <c r="BE312" s="262">
        <f t="shared" si="64"/>
        <v>0</v>
      </c>
      <c r="BF312" s="262">
        <f t="shared" si="65"/>
        <v>0</v>
      </c>
      <c r="BG312" s="262">
        <f t="shared" si="66"/>
        <v>0</v>
      </c>
      <c r="BH312" s="262">
        <f t="shared" si="67"/>
        <v>0</v>
      </c>
      <c r="BI312" s="262">
        <f t="shared" si="68"/>
        <v>0</v>
      </c>
      <c r="BJ312" s="167" t="s">
        <v>219</v>
      </c>
      <c r="BK312" s="262">
        <f t="shared" si="69"/>
        <v>0</v>
      </c>
      <c r="BL312" s="167" t="s">
        <v>127</v>
      </c>
      <c r="BM312" s="261" t="s">
        <v>2382</v>
      </c>
    </row>
    <row r="313" spans="2:65" s="173" customFormat="1" ht="16.5" customHeight="1" x14ac:dyDescent="0.25">
      <c r="B313" s="247"/>
      <c r="C313" s="248" t="s">
        <v>741</v>
      </c>
      <c r="D313" s="248" t="s">
        <v>1876</v>
      </c>
      <c r="E313" s="249" t="s">
        <v>2383</v>
      </c>
      <c r="F313" s="250" t="s">
        <v>2384</v>
      </c>
      <c r="G313" s="251" t="s">
        <v>1876</v>
      </c>
      <c r="H313" s="252">
        <v>210</v>
      </c>
      <c r="I313" s="253"/>
      <c r="J313" s="254">
        <f t="shared" si="60"/>
        <v>0</v>
      </c>
      <c r="K313" s="255"/>
      <c r="L313" s="256"/>
      <c r="M313" s="257" t="s">
        <v>4</v>
      </c>
      <c r="N313" s="258" t="s">
        <v>1821</v>
      </c>
      <c r="P313" s="259">
        <f t="shared" si="61"/>
        <v>0</v>
      </c>
      <c r="Q313" s="259">
        <v>0</v>
      </c>
      <c r="R313" s="259">
        <f t="shared" si="62"/>
        <v>0</v>
      </c>
      <c r="S313" s="259">
        <v>0</v>
      </c>
      <c r="T313" s="260">
        <f t="shared" si="63"/>
        <v>0</v>
      </c>
      <c r="AR313" s="261" t="s">
        <v>1009</v>
      </c>
      <c r="AT313" s="261" t="s">
        <v>1876</v>
      </c>
      <c r="AU313" s="261" t="s">
        <v>227</v>
      </c>
      <c r="AY313" s="167" t="s">
        <v>1873</v>
      </c>
      <c r="BE313" s="262">
        <f t="shared" si="64"/>
        <v>0</v>
      </c>
      <c r="BF313" s="262">
        <f t="shared" si="65"/>
        <v>0</v>
      </c>
      <c r="BG313" s="262">
        <f t="shared" si="66"/>
        <v>0</v>
      </c>
      <c r="BH313" s="262">
        <f t="shared" si="67"/>
        <v>0</v>
      </c>
      <c r="BI313" s="262">
        <f t="shared" si="68"/>
        <v>0</v>
      </c>
      <c r="BJ313" s="167" t="s">
        <v>219</v>
      </c>
      <c r="BK313" s="262">
        <f t="shared" si="69"/>
        <v>0</v>
      </c>
      <c r="BL313" s="167" t="s">
        <v>127</v>
      </c>
      <c r="BM313" s="261" t="s">
        <v>2385</v>
      </c>
    </row>
    <row r="314" spans="2:65" s="173" customFormat="1" ht="16.5" customHeight="1" x14ac:dyDescent="0.25">
      <c r="B314" s="247"/>
      <c r="C314" s="263" t="s">
        <v>744</v>
      </c>
      <c r="D314" s="263" t="s">
        <v>1881</v>
      </c>
      <c r="E314" s="264" t="s">
        <v>2386</v>
      </c>
      <c r="F314" s="265" t="s">
        <v>2387</v>
      </c>
      <c r="G314" s="266" t="s">
        <v>329</v>
      </c>
      <c r="H314" s="267">
        <v>4</v>
      </c>
      <c r="I314" s="268"/>
      <c r="J314" s="269">
        <f t="shared" si="60"/>
        <v>0</v>
      </c>
      <c r="K314" s="270"/>
      <c r="L314" s="174"/>
      <c r="M314" s="271" t="s">
        <v>4</v>
      </c>
      <c r="N314" s="272" t="s">
        <v>1821</v>
      </c>
      <c r="P314" s="259">
        <f t="shared" si="61"/>
        <v>0</v>
      </c>
      <c r="Q314" s="259">
        <v>0</v>
      </c>
      <c r="R314" s="259">
        <f t="shared" si="62"/>
        <v>0</v>
      </c>
      <c r="S314" s="259">
        <v>0</v>
      </c>
      <c r="T314" s="260">
        <f t="shared" si="63"/>
        <v>0</v>
      </c>
      <c r="AR314" s="261" t="s">
        <v>127</v>
      </c>
      <c r="AT314" s="261" t="s">
        <v>1881</v>
      </c>
      <c r="AU314" s="261" t="s">
        <v>227</v>
      </c>
      <c r="AY314" s="167" t="s">
        <v>1873</v>
      </c>
      <c r="BE314" s="262">
        <f t="shared" si="64"/>
        <v>0</v>
      </c>
      <c r="BF314" s="262">
        <f t="shared" si="65"/>
        <v>0</v>
      </c>
      <c r="BG314" s="262">
        <f t="shared" si="66"/>
        <v>0</v>
      </c>
      <c r="BH314" s="262">
        <f t="shared" si="67"/>
        <v>0</v>
      </c>
      <c r="BI314" s="262">
        <f t="shared" si="68"/>
        <v>0</v>
      </c>
      <c r="BJ314" s="167" t="s">
        <v>219</v>
      </c>
      <c r="BK314" s="262">
        <f t="shared" si="69"/>
        <v>0</v>
      </c>
      <c r="BL314" s="167" t="s">
        <v>127</v>
      </c>
      <c r="BM314" s="261" t="s">
        <v>2388</v>
      </c>
    </row>
    <row r="315" spans="2:65" s="173" customFormat="1" ht="16.5" customHeight="1" x14ac:dyDescent="0.25">
      <c r="B315" s="247"/>
      <c r="C315" s="248" t="s">
        <v>747</v>
      </c>
      <c r="D315" s="248" t="s">
        <v>1876</v>
      </c>
      <c r="E315" s="249" t="s">
        <v>2389</v>
      </c>
      <c r="F315" s="250" t="s">
        <v>2390</v>
      </c>
      <c r="G315" s="251" t="s">
        <v>1901</v>
      </c>
      <c r="H315" s="252">
        <v>4</v>
      </c>
      <c r="I315" s="253"/>
      <c r="J315" s="254">
        <f t="shared" si="60"/>
        <v>0</v>
      </c>
      <c r="K315" s="255"/>
      <c r="L315" s="256"/>
      <c r="M315" s="257" t="s">
        <v>4</v>
      </c>
      <c r="N315" s="258" t="s">
        <v>1821</v>
      </c>
      <c r="P315" s="259">
        <f t="shared" si="61"/>
        <v>0</v>
      </c>
      <c r="Q315" s="259">
        <v>0</v>
      </c>
      <c r="R315" s="259">
        <f t="shared" si="62"/>
        <v>0</v>
      </c>
      <c r="S315" s="259">
        <v>0</v>
      </c>
      <c r="T315" s="260">
        <f t="shared" si="63"/>
        <v>0</v>
      </c>
      <c r="AR315" s="261" t="s">
        <v>1009</v>
      </c>
      <c r="AT315" s="261" t="s">
        <v>1876</v>
      </c>
      <c r="AU315" s="261" t="s">
        <v>227</v>
      </c>
      <c r="AY315" s="167" t="s">
        <v>1873</v>
      </c>
      <c r="BE315" s="262">
        <f t="shared" si="64"/>
        <v>0</v>
      </c>
      <c r="BF315" s="262">
        <f t="shared" si="65"/>
        <v>0</v>
      </c>
      <c r="BG315" s="262">
        <f t="shared" si="66"/>
        <v>0</v>
      </c>
      <c r="BH315" s="262">
        <f t="shared" si="67"/>
        <v>0</v>
      </c>
      <c r="BI315" s="262">
        <f t="shared" si="68"/>
        <v>0</v>
      </c>
      <c r="BJ315" s="167" t="s">
        <v>219</v>
      </c>
      <c r="BK315" s="262">
        <f t="shared" si="69"/>
        <v>0</v>
      </c>
      <c r="BL315" s="167" t="s">
        <v>127</v>
      </c>
      <c r="BM315" s="261" t="s">
        <v>2391</v>
      </c>
    </row>
    <row r="316" spans="2:65" s="173" customFormat="1" ht="16.5" customHeight="1" x14ac:dyDescent="0.25">
      <c r="B316" s="247"/>
      <c r="C316" s="263" t="s">
        <v>750</v>
      </c>
      <c r="D316" s="263" t="s">
        <v>1881</v>
      </c>
      <c r="E316" s="264" t="s">
        <v>2392</v>
      </c>
      <c r="F316" s="265" t="s">
        <v>2393</v>
      </c>
      <c r="G316" s="266" t="s">
        <v>1695</v>
      </c>
      <c r="H316" s="267">
        <v>3</v>
      </c>
      <c r="I316" s="268"/>
      <c r="J316" s="269">
        <f t="shared" si="60"/>
        <v>0</v>
      </c>
      <c r="K316" s="270"/>
      <c r="L316" s="174"/>
      <c r="M316" s="271" t="s">
        <v>4</v>
      </c>
      <c r="N316" s="272" t="s">
        <v>1821</v>
      </c>
      <c r="P316" s="259">
        <f t="shared" si="61"/>
        <v>0</v>
      </c>
      <c r="Q316" s="259">
        <v>0</v>
      </c>
      <c r="R316" s="259">
        <f t="shared" si="62"/>
        <v>0</v>
      </c>
      <c r="S316" s="259">
        <v>0</v>
      </c>
      <c r="T316" s="260">
        <f t="shared" si="63"/>
        <v>0</v>
      </c>
      <c r="AR316" s="261" t="s">
        <v>127</v>
      </c>
      <c r="AT316" s="261" t="s">
        <v>1881</v>
      </c>
      <c r="AU316" s="261" t="s">
        <v>227</v>
      </c>
      <c r="AY316" s="167" t="s">
        <v>1873</v>
      </c>
      <c r="BE316" s="262">
        <f t="shared" si="64"/>
        <v>0</v>
      </c>
      <c r="BF316" s="262">
        <f t="shared" si="65"/>
        <v>0</v>
      </c>
      <c r="BG316" s="262">
        <f t="shared" si="66"/>
        <v>0</v>
      </c>
      <c r="BH316" s="262">
        <f t="shared" si="67"/>
        <v>0</v>
      </c>
      <c r="BI316" s="262">
        <f t="shared" si="68"/>
        <v>0</v>
      </c>
      <c r="BJ316" s="167" t="s">
        <v>219</v>
      </c>
      <c r="BK316" s="262">
        <f t="shared" si="69"/>
        <v>0</v>
      </c>
      <c r="BL316" s="167" t="s">
        <v>127</v>
      </c>
      <c r="BM316" s="261" t="s">
        <v>2394</v>
      </c>
    </row>
    <row r="317" spans="2:65" s="173" customFormat="1" ht="16.5" customHeight="1" x14ac:dyDescent="0.25">
      <c r="B317" s="247"/>
      <c r="C317" s="248" t="s">
        <v>753</v>
      </c>
      <c r="D317" s="248" t="s">
        <v>1876</v>
      </c>
      <c r="E317" s="249" t="s">
        <v>2395</v>
      </c>
      <c r="F317" s="250" t="s">
        <v>2396</v>
      </c>
      <c r="G317" s="251" t="s">
        <v>329</v>
      </c>
      <c r="H317" s="252">
        <v>3</v>
      </c>
      <c r="I317" s="253"/>
      <c r="J317" s="254">
        <f t="shared" si="60"/>
        <v>0</v>
      </c>
      <c r="K317" s="255"/>
      <c r="L317" s="256"/>
      <c r="M317" s="257" t="s">
        <v>4</v>
      </c>
      <c r="N317" s="258" t="s">
        <v>1821</v>
      </c>
      <c r="P317" s="259">
        <f t="shared" si="61"/>
        <v>0</v>
      </c>
      <c r="Q317" s="259">
        <v>6.0000000000000002E-5</v>
      </c>
      <c r="R317" s="259">
        <f t="shared" si="62"/>
        <v>1.8000000000000001E-4</v>
      </c>
      <c r="S317" s="259">
        <v>0</v>
      </c>
      <c r="T317" s="260">
        <f t="shared" si="63"/>
        <v>0</v>
      </c>
      <c r="AR317" s="261" t="s">
        <v>611</v>
      </c>
      <c r="AT317" s="261" t="s">
        <v>1876</v>
      </c>
      <c r="AU317" s="261" t="s">
        <v>227</v>
      </c>
      <c r="AY317" s="167" t="s">
        <v>1873</v>
      </c>
      <c r="BE317" s="262">
        <f t="shared" si="64"/>
        <v>0</v>
      </c>
      <c r="BF317" s="262">
        <f t="shared" si="65"/>
        <v>0</v>
      </c>
      <c r="BG317" s="262">
        <f t="shared" si="66"/>
        <v>0</v>
      </c>
      <c r="BH317" s="262">
        <f t="shared" si="67"/>
        <v>0</v>
      </c>
      <c r="BI317" s="262">
        <f t="shared" si="68"/>
        <v>0</v>
      </c>
      <c r="BJ317" s="167" t="s">
        <v>219</v>
      </c>
      <c r="BK317" s="262">
        <f t="shared" si="69"/>
        <v>0</v>
      </c>
      <c r="BL317" s="167" t="s">
        <v>611</v>
      </c>
      <c r="BM317" s="261" t="s">
        <v>2397</v>
      </c>
    </row>
    <row r="318" spans="2:65" s="173" customFormat="1" ht="16.5" customHeight="1" x14ac:dyDescent="0.25">
      <c r="B318" s="247"/>
      <c r="C318" s="248" t="s">
        <v>756</v>
      </c>
      <c r="D318" s="248" t="s">
        <v>1876</v>
      </c>
      <c r="E318" s="249" t="s">
        <v>2398</v>
      </c>
      <c r="F318" s="250" t="s">
        <v>2399</v>
      </c>
      <c r="G318" s="251" t="s">
        <v>1695</v>
      </c>
      <c r="H318" s="252">
        <v>6</v>
      </c>
      <c r="I318" s="253"/>
      <c r="J318" s="254">
        <f t="shared" si="60"/>
        <v>0</v>
      </c>
      <c r="K318" s="255"/>
      <c r="L318" s="256"/>
      <c r="M318" s="257" t="s">
        <v>4</v>
      </c>
      <c r="N318" s="258" t="s">
        <v>1821</v>
      </c>
      <c r="P318" s="259">
        <f t="shared" si="61"/>
        <v>0</v>
      </c>
      <c r="Q318" s="259">
        <v>0</v>
      </c>
      <c r="R318" s="259">
        <f t="shared" si="62"/>
        <v>0</v>
      </c>
      <c r="S318" s="259">
        <v>0</v>
      </c>
      <c r="T318" s="260">
        <f t="shared" si="63"/>
        <v>0</v>
      </c>
      <c r="AR318" s="261" t="s">
        <v>1009</v>
      </c>
      <c r="AT318" s="261" t="s">
        <v>1876</v>
      </c>
      <c r="AU318" s="261" t="s">
        <v>227</v>
      </c>
      <c r="AY318" s="167" t="s">
        <v>1873</v>
      </c>
      <c r="BE318" s="262">
        <f t="shared" si="64"/>
        <v>0</v>
      </c>
      <c r="BF318" s="262">
        <f t="shared" si="65"/>
        <v>0</v>
      </c>
      <c r="BG318" s="262">
        <f t="shared" si="66"/>
        <v>0</v>
      </c>
      <c r="BH318" s="262">
        <f t="shared" si="67"/>
        <v>0</v>
      </c>
      <c r="BI318" s="262">
        <f t="shared" si="68"/>
        <v>0</v>
      </c>
      <c r="BJ318" s="167" t="s">
        <v>219</v>
      </c>
      <c r="BK318" s="262">
        <f t="shared" si="69"/>
        <v>0</v>
      </c>
      <c r="BL318" s="167" t="s">
        <v>127</v>
      </c>
      <c r="BM318" s="261" t="s">
        <v>2400</v>
      </c>
    </row>
    <row r="319" spans="2:65" s="173" customFormat="1" ht="16.5" customHeight="1" x14ac:dyDescent="0.25">
      <c r="B319" s="247"/>
      <c r="C319" s="263" t="s">
        <v>759</v>
      </c>
      <c r="D319" s="263" t="s">
        <v>1881</v>
      </c>
      <c r="E319" s="264" t="s">
        <v>2401</v>
      </c>
      <c r="F319" s="265" t="s">
        <v>2402</v>
      </c>
      <c r="G319" s="266" t="s">
        <v>329</v>
      </c>
      <c r="H319" s="267">
        <v>1</v>
      </c>
      <c r="I319" s="268"/>
      <c r="J319" s="269">
        <f t="shared" si="60"/>
        <v>0</v>
      </c>
      <c r="K319" s="270"/>
      <c r="L319" s="174"/>
      <c r="M319" s="271" t="s">
        <v>4</v>
      </c>
      <c r="N319" s="272" t="s">
        <v>1821</v>
      </c>
      <c r="P319" s="259">
        <f t="shared" si="61"/>
        <v>0</v>
      </c>
      <c r="Q319" s="259">
        <v>0</v>
      </c>
      <c r="R319" s="259">
        <f t="shared" si="62"/>
        <v>0</v>
      </c>
      <c r="S319" s="259">
        <v>0</v>
      </c>
      <c r="T319" s="260">
        <f t="shared" si="63"/>
        <v>0</v>
      </c>
      <c r="AR319" s="261" t="s">
        <v>127</v>
      </c>
      <c r="AT319" s="261" t="s">
        <v>1881</v>
      </c>
      <c r="AU319" s="261" t="s">
        <v>227</v>
      </c>
      <c r="AY319" s="167" t="s">
        <v>1873</v>
      </c>
      <c r="BE319" s="262">
        <f t="shared" si="64"/>
        <v>0</v>
      </c>
      <c r="BF319" s="262">
        <f t="shared" si="65"/>
        <v>0</v>
      </c>
      <c r="BG319" s="262">
        <f t="shared" si="66"/>
        <v>0</v>
      </c>
      <c r="BH319" s="262">
        <f t="shared" si="67"/>
        <v>0</v>
      </c>
      <c r="BI319" s="262">
        <f t="shared" si="68"/>
        <v>0</v>
      </c>
      <c r="BJ319" s="167" t="s">
        <v>219</v>
      </c>
      <c r="BK319" s="262">
        <f t="shared" si="69"/>
        <v>0</v>
      </c>
      <c r="BL319" s="167" t="s">
        <v>127</v>
      </c>
      <c r="BM319" s="261" t="s">
        <v>2403</v>
      </c>
    </row>
    <row r="320" spans="2:65" s="173" customFormat="1" ht="37.9" customHeight="1" x14ac:dyDescent="0.25">
      <c r="B320" s="247"/>
      <c r="C320" s="248" t="s">
        <v>762</v>
      </c>
      <c r="D320" s="248" t="s">
        <v>1876</v>
      </c>
      <c r="E320" s="249" t="s">
        <v>2404</v>
      </c>
      <c r="F320" s="250" t="s">
        <v>2405</v>
      </c>
      <c r="G320" s="251" t="s">
        <v>2406</v>
      </c>
      <c r="H320" s="252">
        <v>1</v>
      </c>
      <c r="I320" s="253"/>
      <c r="J320" s="254">
        <f t="shared" si="60"/>
        <v>0</v>
      </c>
      <c r="K320" s="255"/>
      <c r="L320" s="256"/>
      <c r="M320" s="257" t="s">
        <v>4</v>
      </c>
      <c r="N320" s="258" t="s">
        <v>1821</v>
      </c>
      <c r="P320" s="259">
        <f t="shared" si="61"/>
        <v>0</v>
      </c>
      <c r="Q320" s="259">
        <v>0</v>
      </c>
      <c r="R320" s="259">
        <f t="shared" si="62"/>
        <v>0</v>
      </c>
      <c r="S320" s="259">
        <v>0</v>
      </c>
      <c r="T320" s="260">
        <f t="shared" si="63"/>
        <v>0</v>
      </c>
      <c r="AR320" s="261" t="s">
        <v>1009</v>
      </c>
      <c r="AT320" s="261" t="s">
        <v>1876</v>
      </c>
      <c r="AU320" s="261" t="s">
        <v>227</v>
      </c>
      <c r="AY320" s="167" t="s">
        <v>1873</v>
      </c>
      <c r="BE320" s="262">
        <f t="shared" si="64"/>
        <v>0</v>
      </c>
      <c r="BF320" s="262">
        <f t="shared" si="65"/>
        <v>0</v>
      </c>
      <c r="BG320" s="262">
        <f t="shared" si="66"/>
        <v>0</v>
      </c>
      <c r="BH320" s="262">
        <f t="shared" si="67"/>
        <v>0</v>
      </c>
      <c r="BI320" s="262">
        <f t="shared" si="68"/>
        <v>0</v>
      </c>
      <c r="BJ320" s="167" t="s">
        <v>219</v>
      </c>
      <c r="BK320" s="262">
        <f t="shared" si="69"/>
        <v>0</v>
      </c>
      <c r="BL320" s="167" t="s">
        <v>127</v>
      </c>
      <c r="BM320" s="261" t="s">
        <v>2407</v>
      </c>
    </row>
    <row r="321" spans="2:65" s="173" customFormat="1" ht="16.5" customHeight="1" x14ac:dyDescent="0.25">
      <c r="B321" s="247"/>
      <c r="C321" s="263" t="s">
        <v>765</v>
      </c>
      <c r="D321" s="263" t="s">
        <v>1881</v>
      </c>
      <c r="E321" s="264" t="s">
        <v>2408</v>
      </c>
      <c r="F321" s="265" t="s">
        <v>2409</v>
      </c>
      <c r="G321" s="266" t="s">
        <v>329</v>
      </c>
      <c r="H321" s="267">
        <v>1</v>
      </c>
      <c r="I321" s="268"/>
      <c r="J321" s="269">
        <f t="shared" si="60"/>
        <v>0</v>
      </c>
      <c r="K321" s="270"/>
      <c r="L321" s="174"/>
      <c r="M321" s="271" t="s">
        <v>4</v>
      </c>
      <c r="N321" s="272" t="s">
        <v>1821</v>
      </c>
      <c r="P321" s="259">
        <f t="shared" si="61"/>
        <v>0</v>
      </c>
      <c r="Q321" s="259">
        <v>0</v>
      </c>
      <c r="R321" s="259">
        <f t="shared" si="62"/>
        <v>0</v>
      </c>
      <c r="S321" s="259">
        <v>0</v>
      </c>
      <c r="T321" s="260">
        <f t="shared" si="63"/>
        <v>0</v>
      </c>
      <c r="AR321" s="261" t="s">
        <v>127</v>
      </c>
      <c r="AT321" s="261" t="s">
        <v>1881</v>
      </c>
      <c r="AU321" s="261" t="s">
        <v>227</v>
      </c>
      <c r="AY321" s="167" t="s">
        <v>1873</v>
      </c>
      <c r="BE321" s="262">
        <f t="shared" si="64"/>
        <v>0</v>
      </c>
      <c r="BF321" s="262">
        <f t="shared" si="65"/>
        <v>0</v>
      </c>
      <c r="BG321" s="262">
        <f t="shared" si="66"/>
        <v>0</v>
      </c>
      <c r="BH321" s="262">
        <f t="shared" si="67"/>
        <v>0</v>
      </c>
      <c r="BI321" s="262">
        <f t="shared" si="68"/>
        <v>0</v>
      </c>
      <c r="BJ321" s="167" t="s">
        <v>219</v>
      </c>
      <c r="BK321" s="262">
        <f t="shared" si="69"/>
        <v>0</v>
      </c>
      <c r="BL321" s="167" t="s">
        <v>127</v>
      </c>
      <c r="BM321" s="261" t="s">
        <v>2410</v>
      </c>
    </row>
    <row r="322" spans="2:65" s="173" customFormat="1" ht="16.5" customHeight="1" x14ac:dyDescent="0.25">
      <c r="B322" s="247"/>
      <c r="C322" s="263" t="s">
        <v>768</v>
      </c>
      <c r="D322" s="263" t="s">
        <v>1881</v>
      </c>
      <c r="E322" s="264" t="s">
        <v>2411</v>
      </c>
      <c r="F322" s="265" t="s">
        <v>2412</v>
      </c>
      <c r="G322" s="266" t="s">
        <v>329</v>
      </c>
      <c r="H322" s="267">
        <v>1</v>
      </c>
      <c r="I322" s="268"/>
      <c r="J322" s="269">
        <f t="shared" si="60"/>
        <v>0</v>
      </c>
      <c r="K322" s="270"/>
      <c r="L322" s="174"/>
      <c r="M322" s="271" t="s">
        <v>4</v>
      </c>
      <c r="N322" s="272" t="s">
        <v>1821</v>
      </c>
      <c r="P322" s="259">
        <f t="shared" si="61"/>
        <v>0</v>
      </c>
      <c r="Q322" s="259">
        <v>0</v>
      </c>
      <c r="R322" s="259">
        <f t="shared" si="62"/>
        <v>0</v>
      </c>
      <c r="S322" s="259">
        <v>0</v>
      </c>
      <c r="T322" s="260">
        <f t="shared" si="63"/>
        <v>0</v>
      </c>
      <c r="AR322" s="261" t="s">
        <v>127</v>
      </c>
      <c r="AT322" s="261" t="s">
        <v>1881</v>
      </c>
      <c r="AU322" s="261" t="s">
        <v>227</v>
      </c>
      <c r="AY322" s="167" t="s">
        <v>1873</v>
      </c>
      <c r="BE322" s="262">
        <f t="shared" si="64"/>
        <v>0</v>
      </c>
      <c r="BF322" s="262">
        <f t="shared" si="65"/>
        <v>0</v>
      </c>
      <c r="BG322" s="262">
        <f t="shared" si="66"/>
        <v>0</v>
      </c>
      <c r="BH322" s="262">
        <f t="shared" si="67"/>
        <v>0</v>
      </c>
      <c r="BI322" s="262">
        <f t="shared" si="68"/>
        <v>0</v>
      </c>
      <c r="BJ322" s="167" t="s">
        <v>219</v>
      </c>
      <c r="BK322" s="262">
        <f t="shared" si="69"/>
        <v>0</v>
      </c>
      <c r="BL322" s="167" t="s">
        <v>127</v>
      </c>
      <c r="BM322" s="261" t="s">
        <v>2413</v>
      </c>
    </row>
    <row r="323" spans="2:65" s="173" customFormat="1" ht="16.5" customHeight="1" x14ac:dyDescent="0.25">
      <c r="B323" s="247"/>
      <c r="C323" s="248" t="s">
        <v>771</v>
      </c>
      <c r="D323" s="248" t="s">
        <v>1876</v>
      </c>
      <c r="E323" s="249" t="s">
        <v>2414</v>
      </c>
      <c r="F323" s="250" t="s">
        <v>2415</v>
      </c>
      <c r="G323" s="251" t="s">
        <v>1901</v>
      </c>
      <c r="H323" s="252">
        <v>1</v>
      </c>
      <c r="I323" s="253"/>
      <c r="J323" s="254">
        <f t="shared" si="60"/>
        <v>0</v>
      </c>
      <c r="K323" s="255"/>
      <c r="L323" s="256"/>
      <c r="M323" s="257" t="s">
        <v>4</v>
      </c>
      <c r="N323" s="258" t="s">
        <v>1821</v>
      </c>
      <c r="P323" s="259">
        <f t="shared" si="61"/>
        <v>0</v>
      </c>
      <c r="Q323" s="259">
        <v>0</v>
      </c>
      <c r="R323" s="259">
        <f t="shared" si="62"/>
        <v>0</v>
      </c>
      <c r="S323" s="259">
        <v>0</v>
      </c>
      <c r="T323" s="260">
        <f t="shared" si="63"/>
        <v>0</v>
      </c>
      <c r="AR323" s="261" t="s">
        <v>1009</v>
      </c>
      <c r="AT323" s="261" t="s">
        <v>1876</v>
      </c>
      <c r="AU323" s="261" t="s">
        <v>227</v>
      </c>
      <c r="AY323" s="167" t="s">
        <v>1873</v>
      </c>
      <c r="BE323" s="262">
        <f t="shared" si="64"/>
        <v>0</v>
      </c>
      <c r="BF323" s="262">
        <f t="shared" si="65"/>
        <v>0</v>
      </c>
      <c r="BG323" s="262">
        <f t="shared" si="66"/>
        <v>0</v>
      </c>
      <c r="BH323" s="262">
        <f t="shared" si="67"/>
        <v>0</v>
      </c>
      <c r="BI323" s="262">
        <f t="shared" si="68"/>
        <v>0</v>
      </c>
      <c r="BJ323" s="167" t="s">
        <v>219</v>
      </c>
      <c r="BK323" s="262">
        <f t="shared" si="69"/>
        <v>0</v>
      </c>
      <c r="BL323" s="167" t="s">
        <v>127</v>
      </c>
      <c r="BM323" s="261" t="s">
        <v>2416</v>
      </c>
    </row>
    <row r="324" spans="2:65" s="173" customFormat="1" ht="16.5" customHeight="1" x14ac:dyDescent="0.25">
      <c r="B324" s="247"/>
      <c r="C324" s="248" t="s">
        <v>774</v>
      </c>
      <c r="D324" s="248" t="s">
        <v>1876</v>
      </c>
      <c r="E324" s="249" t="s">
        <v>2417</v>
      </c>
      <c r="F324" s="250" t="s">
        <v>2418</v>
      </c>
      <c r="G324" s="251" t="s">
        <v>1695</v>
      </c>
      <c r="H324" s="252">
        <v>5</v>
      </c>
      <c r="I324" s="253"/>
      <c r="J324" s="254">
        <f t="shared" si="60"/>
        <v>0</v>
      </c>
      <c r="K324" s="255"/>
      <c r="L324" s="256"/>
      <c r="M324" s="257" t="s">
        <v>4</v>
      </c>
      <c r="N324" s="258" t="s">
        <v>1821</v>
      </c>
      <c r="P324" s="259">
        <f t="shared" si="61"/>
        <v>0</v>
      </c>
      <c r="Q324" s="259">
        <v>0</v>
      </c>
      <c r="R324" s="259">
        <f t="shared" si="62"/>
        <v>0</v>
      </c>
      <c r="S324" s="259">
        <v>0</v>
      </c>
      <c r="T324" s="260">
        <f t="shared" si="63"/>
        <v>0</v>
      </c>
      <c r="AR324" s="261" t="s">
        <v>1009</v>
      </c>
      <c r="AT324" s="261" t="s">
        <v>1876</v>
      </c>
      <c r="AU324" s="261" t="s">
        <v>227</v>
      </c>
      <c r="AY324" s="167" t="s">
        <v>1873</v>
      </c>
      <c r="BE324" s="262">
        <f t="shared" si="64"/>
        <v>0</v>
      </c>
      <c r="BF324" s="262">
        <f t="shared" si="65"/>
        <v>0</v>
      </c>
      <c r="BG324" s="262">
        <f t="shared" si="66"/>
        <v>0</v>
      </c>
      <c r="BH324" s="262">
        <f t="shared" si="67"/>
        <v>0</v>
      </c>
      <c r="BI324" s="262">
        <f t="shared" si="68"/>
        <v>0</v>
      </c>
      <c r="BJ324" s="167" t="s">
        <v>219</v>
      </c>
      <c r="BK324" s="262">
        <f t="shared" si="69"/>
        <v>0</v>
      </c>
      <c r="BL324" s="167" t="s">
        <v>127</v>
      </c>
      <c r="BM324" s="261" t="s">
        <v>2419</v>
      </c>
    </row>
    <row r="325" spans="2:65" s="173" customFormat="1" ht="16.5" customHeight="1" x14ac:dyDescent="0.25">
      <c r="B325" s="247"/>
      <c r="C325" s="263" t="s">
        <v>777</v>
      </c>
      <c r="D325" s="263" t="s">
        <v>1881</v>
      </c>
      <c r="E325" s="264" t="s">
        <v>2420</v>
      </c>
      <c r="F325" s="265" t="s">
        <v>2421</v>
      </c>
      <c r="G325" s="266" t="s">
        <v>329</v>
      </c>
      <c r="H325" s="267">
        <v>1</v>
      </c>
      <c r="I325" s="268"/>
      <c r="J325" s="269">
        <f t="shared" si="60"/>
        <v>0</v>
      </c>
      <c r="K325" s="270"/>
      <c r="L325" s="174"/>
      <c r="M325" s="271" t="s">
        <v>4</v>
      </c>
      <c r="N325" s="272" t="s">
        <v>1821</v>
      </c>
      <c r="P325" s="259">
        <f t="shared" si="61"/>
        <v>0</v>
      </c>
      <c r="Q325" s="259">
        <v>0</v>
      </c>
      <c r="R325" s="259">
        <f t="shared" si="62"/>
        <v>0</v>
      </c>
      <c r="S325" s="259">
        <v>0</v>
      </c>
      <c r="T325" s="260">
        <f t="shared" si="63"/>
        <v>0</v>
      </c>
      <c r="AR325" s="261" t="s">
        <v>95</v>
      </c>
      <c r="AT325" s="261" t="s">
        <v>1881</v>
      </c>
      <c r="AU325" s="261" t="s">
        <v>227</v>
      </c>
      <c r="AY325" s="167" t="s">
        <v>1873</v>
      </c>
      <c r="BE325" s="262">
        <f t="shared" si="64"/>
        <v>0</v>
      </c>
      <c r="BF325" s="262">
        <f t="shared" si="65"/>
        <v>0</v>
      </c>
      <c r="BG325" s="262">
        <f t="shared" si="66"/>
        <v>0</v>
      </c>
      <c r="BH325" s="262">
        <f t="shared" si="67"/>
        <v>0</v>
      </c>
      <c r="BI325" s="262">
        <f t="shared" si="68"/>
        <v>0</v>
      </c>
      <c r="BJ325" s="167" t="s">
        <v>219</v>
      </c>
      <c r="BK325" s="262">
        <f t="shared" si="69"/>
        <v>0</v>
      </c>
      <c r="BL325" s="167" t="s">
        <v>95</v>
      </c>
      <c r="BM325" s="261" t="s">
        <v>2422</v>
      </c>
    </row>
    <row r="326" spans="2:65" s="173" customFormat="1" ht="16.5" customHeight="1" x14ac:dyDescent="0.25">
      <c r="B326" s="247"/>
      <c r="C326" s="248" t="s">
        <v>780</v>
      </c>
      <c r="D326" s="248" t="s">
        <v>1876</v>
      </c>
      <c r="E326" s="249" t="s">
        <v>2423</v>
      </c>
      <c r="F326" s="250" t="s">
        <v>2424</v>
      </c>
      <c r="G326" s="251" t="s">
        <v>1695</v>
      </c>
      <c r="H326" s="252">
        <v>1</v>
      </c>
      <c r="I326" s="253"/>
      <c r="J326" s="254">
        <f t="shared" si="60"/>
        <v>0</v>
      </c>
      <c r="K326" s="255"/>
      <c r="L326" s="256"/>
      <c r="M326" s="257" t="s">
        <v>4</v>
      </c>
      <c r="N326" s="258" t="s">
        <v>1821</v>
      </c>
      <c r="P326" s="259">
        <f t="shared" si="61"/>
        <v>0</v>
      </c>
      <c r="Q326" s="259">
        <v>0</v>
      </c>
      <c r="R326" s="259">
        <f t="shared" si="62"/>
        <v>0</v>
      </c>
      <c r="S326" s="259">
        <v>0</v>
      </c>
      <c r="T326" s="260">
        <f t="shared" si="63"/>
        <v>0</v>
      </c>
      <c r="AR326" s="261" t="s">
        <v>1009</v>
      </c>
      <c r="AT326" s="261" t="s">
        <v>1876</v>
      </c>
      <c r="AU326" s="261" t="s">
        <v>227</v>
      </c>
      <c r="AY326" s="167" t="s">
        <v>1873</v>
      </c>
      <c r="BE326" s="262">
        <f t="shared" si="64"/>
        <v>0</v>
      </c>
      <c r="BF326" s="262">
        <f t="shared" si="65"/>
        <v>0</v>
      </c>
      <c r="BG326" s="262">
        <f t="shared" si="66"/>
        <v>0</v>
      </c>
      <c r="BH326" s="262">
        <f t="shared" si="67"/>
        <v>0</v>
      </c>
      <c r="BI326" s="262">
        <f t="shared" si="68"/>
        <v>0</v>
      </c>
      <c r="BJ326" s="167" t="s">
        <v>219</v>
      </c>
      <c r="BK326" s="262">
        <f t="shared" si="69"/>
        <v>0</v>
      </c>
      <c r="BL326" s="167" t="s">
        <v>127</v>
      </c>
      <c r="BM326" s="261" t="s">
        <v>2425</v>
      </c>
    </row>
    <row r="327" spans="2:65" s="173" customFormat="1" ht="16.5" customHeight="1" x14ac:dyDescent="0.25">
      <c r="B327" s="247"/>
      <c r="C327" s="263" t="s">
        <v>784</v>
      </c>
      <c r="D327" s="263" t="s">
        <v>1881</v>
      </c>
      <c r="E327" s="264" t="s">
        <v>2426</v>
      </c>
      <c r="F327" s="265" t="s">
        <v>2427</v>
      </c>
      <c r="G327" s="266" t="s">
        <v>329</v>
      </c>
      <c r="H327" s="267">
        <v>1</v>
      </c>
      <c r="I327" s="268"/>
      <c r="J327" s="269">
        <f t="shared" si="60"/>
        <v>0</v>
      </c>
      <c r="K327" s="270"/>
      <c r="L327" s="174"/>
      <c r="M327" s="271" t="s">
        <v>4</v>
      </c>
      <c r="N327" s="272" t="s">
        <v>1821</v>
      </c>
      <c r="P327" s="259">
        <f t="shared" si="61"/>
        <v>0</v>
      </c>
      <c r="Q327" s="259">
        <v>0</v>
      </c>
      <c r="R327" s="259">
        <f t="shared" si="62"/>
        <v>0</v>
      </c>
      <c r="S327" s="259">
        <v>0</v>
      </c>
      <c r="T327" s="260">
        <f t="shared" si="63"/>
        <v>0</v>
      </c>
      <c r="AR327" s="261" t="s">
        <v>95</v>
      </c>
      <c r="AT327" s="261" t="s">
        <v>1881</v>
      </c>
      <c r="AU327" s="261" t="s">
        <v>227</v>
      </c>
      <c r="AY327" s="167" t="s">
        <v>1873</v>
      </c>
      <c r="BE327" s="262">
        <f t="shared" si="64"/>
        <v>0</v>
      </c>
      <c r="BF327" s="262">
        <f t="shared" si="65"/>
        <v>0</v>
      </c>
      <c r="BG327" s="262">
        <f t="shared" si="66"/>
        <v>0</v>
      </c>
      <c r="BH327" s="262">
        <f t="shared" si="67"/>
        <v>0</v>
      </c>
      <c r="BI327" s="262">
        <f t="shared" si="68"/>
        <v>0</v>
      </c>
      <c r="BJ327" s="167" t="s">
        <v>219</v>
      </c>
      <c r="BK327" s="262">
        <f t="shared" si="69"/>
        <v>0</v>
      </c>
      <c r="BL327" s="167" t="s">
        <v>95</v>
      </c>
      <c r="BM327" s="261" t="s">
        <v>2428</v>
      </c>
    </row>
    <row r="328" spans="2:65" s="173" customFormat="1" ht="21.75" customHeight="1" x14ac:dyDescent="0.25">
      <c r="B328" s="247"/>
      <c r="C328" s="263" t="s">
        <v>787</v>
      </c>
      <c r="D328" s="263" t="s">
        <v>1881</v>
      </c>
      <c r="E328" s="264" t="s">
        <v>2429</v>
      </c>
      <c r="F328" s="265" t="s">
        <v>2430</v>
      </c>
      <c r="G328" s="266" t="s">
        <v>329</v>
      </c>
      <c r="H328" s="267">
        <v>4</v>
      </c>
      <c r="I328" s="268"/>
      <c r="J328" s="269">
        <f t="shared" si="60"/>
        <v>0</v>
      </c>
      <c r="K328" s="270"/>
      <c r="L328" s="174"/>
      <c r="M328" s="271" t="s">
        <v>4</v>
      </c>
      <c r="N328" s="272" t="s">
        <v>1821</v>
      </c>
      <c r="P328" s="259">
        <f t="shared" si="61"/>
        <v>0</v>
      </c>
      <c r="Q328" s="259">
        <v>0</v>
      </c>
      <c r="R328" s="259">
        <f t="shared" si="62"/>
        <v>0</v>
      </c>
      <c r="S328" s="259">
        <v>0</v>
      </c>
      <c r="T328" s="260">
        <f t="shared" si="63"/>
        <v>0</v>
      </c>
      <c r="AR328" s="261" t="s">
        <v>95</v>
      </c>
      <c r="AT328" s="261" t="s">
        <v>1881</v>
      </c>
      <c r="AU328" s="261" t="s">
        <v>227</v>
      </c>
      <c r="AY328" s="167" t="s">
        <v>1873</v>
      </c>
      <c r="BE328" s="262">
        <f t="shared" si="64"/>
        <v>0</v>
      </c>
      <c r="BF328" s="262">
        <f t="shared" si="65"/>
        <v>0</v>
      </c>
      <c r="BG328" s="262">
        <f t="shared" si="66"/>
        <v>0</v>
      </c>
      <c r="BH328" s="262">
        <f t="shared" si="67"/>
        <v>0</v>
      </c>
      <c r="BI328" s="262">
        <f t="shared" si="68"/>
        <v>0</v>
      </c>
      <c r="BJ328" s="167" t="s">
        <v>219</v>
      </c>
      <c r="BK328" s="262">
        <f t="shared" si="69"/>
        <v>0</v>
      </c>
      <c r="BL328" s="167" t="s">
        <v>95</v>
      </c>
      <c r="BM328" s="261" t="s">
        <v>2431</v>
      </c>
    </row>
    <row r="329" spans="2:65" s="173" customFormat="1" ht="16.5" customHeight="1" x14ac:dyDescent="0.25">
      <c r="B329" s="247"/>
      <c r="C329" s="263" t="s">
        <v>790</v>
      </c>
      <c r="D329" s="263" t="s">
        <v>1881</v>
      </c>
      <c r="E329" s="264" t="s">
        <v>2432</v>
      </c>
      <c r="F329" s="265" t="s">
        <v>2433</v>
      </c>
      <c r="G329" s="266" t="s">
        <v>329</v>
      </c>
      <c r="H329" s="267">
        <v>8</v>
      </c>
      <c r="I329" s="268"/>
      <c r="J329" s="269">
        <f t="shared" si="60"/>
        <v>0</v>
      </c>
      <c r="K329" s="270"/>
      <c r="L329" s="174"/>
      <c r="M329" s="271" t="s">
        <v>4</v>
      </c>
      <c r="N329" s="272" t="s">
        <v>1821</v>
      </c>
      <c r="P329" s="259">
        <f t="shared" si="61"/>
        <v>0</v>
      </c>
      <c r="Q329" s="259">
        <v>0</v>
      </c>
      <c r="R329" s="259">
        <f t="shared" si="62"/>
        <v>0</v>
      </c>
      <c r="S329" s="259">
        <v>0</v>
      </c>
      <c r="T329" s="260">
        <f t="shared" si="63"/>
        <v>0</v>
      </c>
      <c r="AR329" s="261" t="s">
        <v>95</v>
      </c>
      <c r="AT329" s="261" t="s">
        <v>1881</v>
      </c>
      <c r="AU329" s="261" t="s">
        <v>227</v>
      </c>
      <c r="AY329" s="167" t="s">
        <v>1873</v>
      </c>
      <c r="BE329" s="262">
        <f t="shared" si="64"/>
        <v>0</v>
      </c>
      <c r="BF329" s="262">
        <f t="shared" si="65"/>
        <v>0</v>
      </c>
      <c r="BG329" s="262">
        <f t="shared" si="66"/>
        <v>0</v>
      </c>
      <c r="BH329" s="262">
        <f t="shared" si="67"/>
        <v>0</v>
      </c>
      <c r="BI329" s="262">
        <f t="shared" si="68"/>
        <v>0</v>
      </c>
      <c r="BJ329" s="167" t="s">
        <v>219</v>
      </c>
      <c r="BK329" s="262">
        <f t="shared" si="69"/>
        <v>0</v>
      </c>
      <c r="BL329" s="167" t="s">
        <v>95</v>
      </c>
      <c r="BM329" s="261" t="s">
        <v>2434</v>
      </c>
    </row>
    <row r="330" spans="2:65" s="173" customFormat="1" ht="16.5" customHeight="1" x14ac:dyDescent="0.25">
      <c r="B330" s="247"/>
      <c r="C330" s="248" t="s">
        <v>793</v>
      </c>
      <c r="D330" s="248" t="s">
        <v>1876</v>
      </c>
      <c r="E330" s="249" t="s">
        <v>2435</v>
      </c>
      <c r="F330" s="250" t="s">
        <v>2436</v>
      </c>
      <c r="G330" s="251" t="s">
        <v>1695</v>
      </c>
      <c r="H330" s="252">
        <v>8</v>
      </c>
      <c r="I330" s="253"/>
      <c r="J330" s="254">
        <f t="shared" si="60"/>
        <v>0</v>
      </c>
      <c r="K330" s="255"/>
      <c r="L330" s="256"/>
      <c r="M330" s="257" t="s">
        <v>4</v>
      </c>
      <c r="N330" s="258" t="s">
        <v>1821</v>
      </c>
      <c r="P330" s="259">
        <f t="shared" si="61"/>
        <v>0</v>
      </c>
      <c r="Q330" s="259">
        <v>0</v>
      </c>
      <c r="R330" s="259">
        <f t="shared" si="62"/>
        <v>0</v>
      </c>
      <c r="S330" s="259">
        <v>0</v>
      </c>
      <c r="T330" s="260">
        <f t="shared" si="63"/>
        <v>0</v>
      </c>
      <c r="AR330" s="261" t="s">
        <v>1009</v>
      </c>
      <c r="AT330" s="261" t="s">
        <v>1876</v>
      </c>
      <c r="AU330" s="261" t="s">
        <v>227</v>
      </c>
      <c r="AY330" s="167" t="s">
        <v>1873</v>
      </c>
      <c r="BE330" s="262">
        <f t="shared" si="64"/>
        <v>0</v>
      </c>
      <c r="BF330" s="262">
        <f t="shared" si="65"/>
        <v>0</v>
      </c>
      <c r="BG330" s="262">
        <f t="shared" si="66"/>
        <v>0</v>
      </c>
      <c r="BH330" s="262">
        <f t="shared" si="67"/>
        <v>0</v>
      </c>
      <c r="BI330" s="262">
        <f t="shared" si="68"/>
        <v>0</v>
      </c>
      <c r="BJ330" s="167" t="s">
        <v>219</v>
      </c>
      <c r="BK330" s="262">
        <f t="shared" si="69"/>
        <v>0</v>
      </c>
      <c r="BL330" s="167" t="s">
        <v>127</v>
      </c>
      <c r="BM330" s="261" t="s">
        <v>2437</v>
      </c>
    </row>
    <row r="331" spans="2:65" s="173" customFormat="1" ht="16.5" customHeight="1" x14ac:dyDescent="0.25">
      <c r="B331" s="247"/>
      <c r="C331" s="248" t="s">
        <v>797</v>
      </c>
      <c r="D331" s="248" t="s">
        <v>1876</v>
      </c>
      <c r="E331" s="249" t="s">
        <v>2438</v>
      </c>
      <c r="F331" s="250" t="s">
        <v>2439</v>
      </c>
      <c r="G331" s="251" t="s">
        <v>1695</v>
      </c>
      <c r="H331" s="252">
        <v>1</v>
      </c>
      <c r="I331" s="253"/>
      <c r="J331" s="254">
        <f t="shared" si="60"/>
        <v>0</v>
      </c>
      <c r="K331" s="255"/>
      <c r="L331" s="256"/>
      <c r="M331" s="257" t="s">
        <v>4</v>
      </c>
      <c r="N331" s="258" t="s">
        <v>1821</v>
      </c>
      <c r="P331" s="259">
        <f t="shared" si="61"/>
        <v>0</v>
      </c>
      <c r="Q331" s="259">
        <v>0</v>
      </c>
      <c r="R331" s="259">
        <f t="shared" si="62"/>
        <v>0</v>
      </c>
      <c r="S331" s="259">
        <v>0</v>
      </c>
      <c r="T331" s="260">
        <f t="shared" si="63"/>
        <v>0</v>
      </c>
      <c r="AR331" s="261" t="s">
        <v>1009</v>
      </c>
      <c r="AT331" s="261" t="s">
        <v>1876</v>
      </c>
      <c r="AU331" s="261" t="s">
        <v>227</v>
      </c>
      <c r="AY331" s="167" t="s">
        <v>1873</v>
      </c>
      <c r="BE331" s="262">
        <f t="shared" si="64"/>
        <v>0</v>
      </c>
      <c r="BF331" s="262">
        <f t="shared" si="65"/>
        <v>0</v>
      </c>
      <c r="BG331" s="262">
        <f t="shared" si="66"/>
        <v>0</v>
      </c>
      <c r="BH331" s="262">
        <f t="shared" si="67"/>
        <v>0</v>
      </c>
      <c r="BI331" s="262">
        <f t="shared" si="68"/>
        <v>0</v>
      </c>
      <c r="BJ331" s="167" t="s">
        <v>219</v>
      </c>
      <c r="BK331" s="262">
        <f t="shared" si="69"/>
        <v>0</v>
      </c>
      <c r="BL331" s="167" t="s">
        <v>127</v>
      </c>
      <c r="BM331" s="261" t="s">
        <v>2440</v>
      </c>
    </row>
    <row r="332" spans="2:65" s="173" customFormat="1" ht="16.5" customHeight="1" x14ac:dyDescent="0.25">
      <c r="B332" s="247"/>
      <c r="C332" s="248" t="s">
        <v>800</v>
      </c>
      <c r="D332" s="248" t="s">
        <v>1876</v>
      </c>
      <c r="E332" s="249" t="s">
        <v>2441</v>
      </c>
      <c r="F332" s="250" t="s">
        <v>2442</v>
      </c>
      <c r="G332" s="251" t="s">
        <v>1695</v>
      </c>
      <c r="H332" s="252">
        <v>1</v>
      </c>
      <c r="I332" s="253"/>
      <c r="J332" s="254">
        <f t="shared" si="60"/>
        <v>0</v>
      </c>
      <c r="K332" s="255"/>
      <c r="L332" s="256"/>
      <c r="M332" s="257" t="s">
        <v>4</v>
      </c>
      <c r="N332" s="258" t="s">
        <v>1821</v>
      </c>
      <c r="P332" s="259">
        <f t="shared" si="61"/>
        <v>0</v>
      </c>
      <c r="Q332" s="259">
        <v>0</v>
      </c>
      <c r="R332" s="259">
        <f t="shared" si="62"/>
        <v>0</v>
      </c>
      <c r="S332" s="259">
        <v>0</v>
      </c>
      <c r="T332" s="260">
        <f t="shared" si="63"/>
        <v>0</v>
      </c>
      <c r="AR332" s="261" t="s">
        <v>1009</v>
      </c>
      <c r="AT332" s="261" t="s">
        <v>1876</v>
      </c>
      <c r="AU332" s="261" t="s">
        <v>227</v>
      </c>
      <c r="AY332" s="167" t="s">
        <v>1873</v>
      </c>
      <c r="BE332" s="262">
        <f t="shared" si="64"/>
        <v>0</v>
      </c>
      <c r="BF332" s="262">
        <f t="shared" si="65"/>
        <v>0</v>
      </c>
      <c r="BG332" s="262">
        <f t="shared" si="66"/>
        <v>0</v>
      </c>
      <c r="BH332" s="262">
        <f t="shared" si="67"/>
        <v>0</v>
      </c>
      <c r="BI332" s="262">
        <f t="shared" si="68"/>
        <v>0</v>
      </c>
      <c r="BJ332" s="167" t="s">
        <v>219</v>
      </c>
      <c r="BK332" s="262">
        <f t="shared" si="69"/>
        <v>0</v>
      </c>
      <c r="BL332" s="167" t="s">
        <v>127</v>
      </c>
      <c r="BM332" s="261" t="s">
        <v>2443</v>
      </c>
    </row>
    <row r="333" spans="2:65" s="173" customFormat="1" ht="16.5" customHeight="1" x14ac:dyDescent="0.25">
      <c r="B333" s="247"/>
      <c r="C333" s="248" t="s">
        <v>806</v>
      </c>
      <c r="D333" s="248" t="s">
        <v>1876</v>
      </c>
      <c r="E333" s="249" t="s">
        <v>2444</v>
      </c>
      <c r="F333" s="250" t="s">
        <v>2445</v>
      </c>
      <c r="G333" s="251" t="s">
        <v>1695</v>
      </c>
      <c r="H333" s="252">
        <v>2</v>
      </c>
      <c r="I333" s="253"/>
      <c r="J333" s="254">
        <f t="shared" si="60"/>
        <v>0</v>
      </c>
      <c r="K333" s="255"/>
      <c r="L333" s="256"/>
      <c r="M333" s="257" t="s">
        <v>4</v>
      </c>
      <c r="N333" s="258" t="s">
        <v>1821</v>
      </c>
      <c r="P333" s="259">
        <f t="shared" si="61"/>
        <v>0</v>
      </c>
      <c r="Q333" s="259">
        <v>0</v>
      </c>
      <c r="R333" s="259">
        <f t="shared" si="62"/>
        <v>0</v>
      </c>
      <c r="S333" s="259">
        <v>0</v>
      </c>
      <c r="T333" s="260">
        <f t="shared" si="63"/>
        <v>0</v>
      </c>
      <c r="AR333" s="261" t="s">
        <v>1009</v>
      </c>
      <c r="AT333" s="261" t="s">
        <v>1876</v>
      </c>
      <c r="AU333" s="261" t="s">
        <v>227</v>
      </c>
      <c r="AY333" s="167" t="s">
        <v>1873</v>
      </c>
      <c r="BE333" s="262">
        <f t="shared" si="64"/>
        <v>0</v>
      </c>
      <c r="BF333" s="262">
        <f t="shared" si="65"/>
        <v>0</v>
      </c>
      <c r="BG333" s="262">
        <f t="shared" si="66"/>
        <v>0</v>
      </c>
      <c r="BH333" s="262">
        <f t="shared" si="67"/>
        <v>0</v>
      </c>
      <c r="BI333" s="262">
        <f t="shared" si="68"/>
        <v>0</v>
      </c>
      <c r="BJ333" s="167" t="s">
        <v>219</v>
      </c>
      <c r="BK333" s="262">
        <f t="shared" si="69"/>
        <v>0</v>
      </c>
      <c r="BL333" s="167" t="s">
        <v>127</v>
      </c>
      <c r="BM333" s="261" t="s">
        <v>2446</v>
      </c>
    </row>
    <row r="334" spans="2:65" s="173" customFormat="1" ht="16.5" customHeight="1" x14ac:dyDescent="0.25">
      <c r="B334" s="247"/>
      <c r="C334" s="248" t="s">
        <v>809</v>
      </c>
      <c r="D334" s="248" t="s">
        <v>1876</v>
      </c>
      <c r="E334" s="249" t="s">
        <v>2447</v>
      </c>
      <c r="F334" s="250" t="s">
        <v>2448</v>
      </c>
      <c r="G334" s="251" t="s">
        <v>1695</v>
      </c>
      <c r="H334" s="252">
        <v>1</v>
      </c>
      <c r="I334" s="253"/>
      <c r="J334" s="254">
        <f t="shared" si="60"/>
        <v>0</v>
      </c>
      <c r="K334" s="255"/>
      <c r="L334" s="256"/>
      <c r="M334" s="257" t="s">
        <v>4</v>
      </c>
      <c r="N334" s="258" t="s">
        <v>1821</v>
      </c>
      <c r="P334" s="259">
        <f t="shared" si="61"/>
        <v>0</v>
      </c>
      <c r="Q334" s="259">
        <v>0</v>
      </c>
      <c r="R334" s="259">
        <f t="shared" si="62"/>
        <v>0</v>
      </c>
      <c r="S334" s="259">
        <v>0</v>
      </c>
      <c r="T334" s="260">
        <f t="shared" si="63"/>
        <v>0</v>
      </c>
      <c r="AR334" s="261" t="s">
        <v>1009</v>
      </c>
      <c r="AT334" s="261" t="s">
        <v>1876</v>
      </c>
      <c r="AU334" s="261" t="s">
        <v>227</v>
      </c>
      <c r="AY334" s="167" t="s">
        <v>1873</v>
      </c>
      <c r="BE334" s="262">
        <f t="shared" si="64"/>
        <v>0</v>
      </c>
      <c r="BF334" s="262">
        <f t="shared" si="65"/>
        <v>0</v>
      </c>
      <c r="BG334" s="262">
        <f t="shared" si="66"/>
        <v>0</v>
      </c>
      <c r="BH334" s="262">
        <f t="shared" si="67"/>
        <v>0</v>
      </c>
      <c r="BI334" s="262">
        <f t="shared" si="68"/>
        <v>0</v>
      </c>
      <c r="BJ334" s="167" t="s">
        <v>219</v>
      </c>
      <c r="BK334" s="262">
        <f t="shared" si="69"/>
        <v>0</v>
      </c>
      <c r="BL334" s="167" t="s">
        <v>127</v>
      </c>
      <c r="BM334" s="261" t="s">
        <v>2449</v>
      </c>
    </row>
    <row r="335" spans="2:65" s="173" customFormat="1" ht="16.5" customHeight="1" x14ac:dyDescent="0.25">
      <c r="B335" s="247"/>
      <c r="C335" s="248" t="s">
        <v>812</v>
      </c>
      <c r="D335" s="248" t="s">
        <v>1876</v>
      </c>
      <c r="E335" s="249" t="s">
        <v>2450</v>
      </c>
      <c r="F335" s="250" t="s">
        <v>2451</v>
      </c>
      <c r="G335" s="251" t="s">
        <v>1695</v>
      </c>
      <c r="H335" s="252">
        <v>1</v>
      </c>
      <c r="I335" s="253"/>
      <c r="J335" s="254">
        <f t="shared" si="60"/>
        <v>0</v>
      </c>
      <c r="K335" s="255"/>
      <c r="L335" s="256"/>
      <c r="M335" s="257" t="s">
        <v>4</v>
      </c>
      <c r="N335" s="258" t="s">
        <v>1821</v>
      </c>
      <c r="P335" s="259">
        <f t="shared" si="61"/>
        <v>0</v>
      </c>
      <c r="Q335" s="259">
        <v>0</v>
      </c>
      <c r="R335" s="259">
        <f t="shared" si="62"/>
        <v>0</v>
      </c>
      <c r="S335" s="259">
        <v>0</v>
      </c>
      <c r="T335" s="260">
        <f t="shared" si="63"/>
        <v>0</v>
      </c>
      <c r="AR335" s="261" t="s">
        <v>1009</v>
      </c>
      <c r="AT335" s="261" t="s">
        <v>1876</v>
      </c>
      <c r="AU335" s="261" t="s">
        <v>227</v>
      </c>
      <c r="AY335" s="167" t="s">
        <v>1873</v>
      </c>
      <c r="BE335" s="262">
        <f t="shared" si="64"/>
        <v>0</v>
      </c>
      <c r="BF335" s="262">
        <f t="shared" si="65"/>
        <v>0</v>
      </c>
      <c r="BG335" s="262">
        <f t="shared" si="66"/>
        <v>0</v>
      </c>
      <c r="BH335" s="262">
        <f t="shared" si="67"/>
        <v>0</v>
      </c>
      <c r="BI335" s="262">
        <f t="shared" si="68"/>
        <v>0</v>
      </c>
      <c r="BJ335" s="167" t="s">
        <v>219</v>
      </c>
      <c r="BK335" s="262">
        <f t="shared" si="69"/>
        <v>0</v>
      </c>
      <c r="BL335" s="167" t="s">
        <v>127</v>
      </c>
      <c r="BM335" s="261" t="s">
        <v>2452</v>
      </c>
    </row>
    <row r="336" spans="2:65" s="173" customFormat="1" ht="16.5" customHeight="1" x14ac:dyDescent="0.25">
      <c r="B336" s="247"/>
      <c r="C336" s="248" t="s">
        <v>817</v>
      </c>
      <c r="D336" s="248" t="s">
        <v>1876</v>
      </c>
      <c r="E336" s="249" t="s">
        <v>2453</v>
      </c>
      <c r="F336" s="250" t="s">
        <v>2454</v>
      </c>
      <c r="G336" s="251" t="s">
        <v>1695</v>
      </c>
      <c r="H336" s="252">
        <v>1</v>
      </c>
      <c r="I336" s="253"/>
      <c r="J336" s="254">
        <f t="shared" si="60"/>
        <v>0</v>
      </c>
      <c r="K336" s="255"/>
      <c r="L336" s="256"/>
      <c r="M336" s="257" t="s">
        <v>4</v>
      </c>
      <c r="N336" s="258" t="s">
        <v>1821</v>
      </c>
      <c r="P336" s="259">
        <f t="shared" si="61"/>
        <v>0</v>
      </c>
      <c r="Q336" s="259">
        <v>0</v>
      </c>
      <c r="R336" s="259">
        <f t="shared" si="62"/>
        <v>0</v>
      </c>
      <c r="S336" s="259">
        <v>0</v>
      </c>
      <c r="T336" s="260">
        <f t="shared" si="63"/>
        <v>0</v>
      </c>
      <c r="AR336" s="261" t="s">
        <v>1009</v>
      </c>
      <c r="AT336" s="261" t="s">
        <v>1876</v>
      </c>
      <c r="AU336" s="261" t="s">
        <v>227</v>
      </c>
      <c r="AY336" s="167" t="s">
        <v>1873</v>
      </c>
      <c r="BE336" s="262">
        <f t="shared" si="64"/>
        <v>0</v>
      </c>
      <c r="BF336" s="262">
        <f t="shared" si="65"/>
        <v>0</v>
      </c>
      <c r="BG336" s="262">
        <f t="shared" si="66"/>
        <v>0</v>
      </c>
      <c r="BH336" s="262">
        <f t="shared" si="67"/>
        <v>0</v>
      </c>
      <c r="BI336" s="262">
        <f t="shared" si="68"/>
        <v>0</v>
      </c>
      <c r="BJ336" s="167" t="s">
        <v>219</v>
      </c>
      <c r="BK336" s="262">
        <f t="shared" si="69"/>
        <v>0</v>
      </c>
      <c r="BL336" s="167" t="s">
        <v>127</v>
      </c>
      <c r="BM336" s="261" t="s">
        <v>2455</v>
      </c>
    </row>
    <row r="337" spans="2:65" s="173" customFormat="1" ht="16.5" customHeight="1" x14ac:dyDescent="0.25">
      <c r="B337" s="247"/>
      <c r="C337" s="248" t="s">
        <v>820</v>
      </c>
      <c r="D337" s="248" t="s">
        <v>1876</v>
      </c>
      <c r="E337" s="249" t="s">
        <v>2456</v>
      </c>
      <c r="F337" s="250" t="s">
        <v>2457</v>
      </c>
      <c r="G337" s="251" t="s">
        <v>1695</v>
      </c>
      <c r="H337" s="252">
        <v>6</v>
      </c>
      <c r="I337" s="253"/>
      <c r="J337" s="254">
        <f t="shared" si="60"/>
        <v>0</v>
      </c>
      <c r="K337" s="255"/>
      <c r="L337" s="256"/>
      <c r="M337" s="257" t="s">
        <v>4</v>
      </c>
      <c r="N337" s="258" t="s">
        <v>1821</v>
      </c>
      <c r="P337" s="259">
        <f t="shared" si="61"/>
        <v>0</v>
      </c>
      <c r="Q337" s="259">
        <v>0</v>
      </c>
      <c r="R337" s="259">
        <f t="shared" si="62"/>
        <v>0</v>
      </c>
      <c r="S337" s="259">
        <v>0</v>
      </c>
      <c r="T337" s="260">
        <f t="shared" si="63"/>
        <v>0</v>
      </c>
      <c r="AR337" s="261" t="s">
        <v>1009</v>
      </c>
      <c r="AT337" s="261" t="s">
        <v>1876</v>
      </c>
      <c r="AU337" s="261" t="s">
        <v>227</v>
      </c>
      <c r="AY337" s="167" t="s">
        <v>1873</v>
      </c>
      <c r="BE337" s="262">
        <f t="shared" si="64"/>
        <v>0</v>
      </c>
      <c r="BF337" s="262">
        <f t="shared" si="65"/>
        <v>0</v>
      </c>
      <c r="BG337" s="262">
        <f t="shared" si="66"/>
        <v>0</v>
      </c>
      <c r="BH337" s="262">
        <f t="shared" si="67"/>
        <v>0</v>
      </c>
      <c r="BI337" s="262">
        <f t="shared" si="68"/>
        <v>0</v>
      </c>
      <c r="BJ337" s="167" t="s">
        <v>219</v>
      </c>
      <c r="BK337" s="262">
        <f t="shared" si="69"/>
        <v>0</v>
      </c>
      <c r="BL337" s="167" t="s">
        <v>127</v>
      </c>
      <c r="BM337" s="261" t="s">
        <v>2458</v>
      </c>
    </row>
    <row r="338" spans="2:65" s="173" customFormat="1" ht="16.5" customHeight="1" x14ac:dyDescent="0.25">
      <c r="B338" s="247"/>
      <c r="C338" s="248" t="s">
        <v>823</v>
      </c>
      <c r="D338" s="248" t="s">
        <v>1876</v>
      </c>
      <c r="E338" s="249" t="s">
        <v>2398</v>
      </c>
      <c r="F338" s="250" t="s">
        <v>2399</v>
      </c>
      <c r="G338" s="251" t="s">
        <v>1695</v>
      </c>
      <c r="H338" s="252">
        <v>6</v>
      </c>
      <c r="I338" s="253"/>
      <c r="J338" s="254">
        <f t="shared" si="60"/>
        <v>0</v>
      </c>
      <c r="K338" s="255"/>
      <c r="L338" s="256"/>
      <c r="M338" s="257" t="s">
        <v>4</v>
      </c>
      <c r="N338" s="258" t="s">
        <v>1821</v>
      </c>
      <c r="P338" s="259">
        <f t="shared" si="61"/>
        <v>0</v>
      </c>
      <c r="Q338" s="259">
        <v>0</v>
      </c>
      <c r="R338" s="259">
        <f t="shared" si="62"/>
        <v>0</v>
      </c>
      <c r="S338" s="259">
        <v>0</v>
      </c>
      <c r="T338" s="260">
        <f t="shared" si="63"/>
        <v>0</v>
      </c>
      <c r="AR338" s="261" t="s">
        <v>1009</v>
      </c>
      <c r="AT338" s="261" t="s">
        <v>1876</v>
      </c>
      <c r="AU338" s="261" t="s">
        <v>227</v>
      </c>
      <c r="AY338" s="167" t="s">
        <v>1873</v>
      </c>
      <c r="BE338" s="262">
        <f t="shared" si="64"/>
        <v>0</v>
      </c>
      <c r="BF338" s="262">
        <f t="shared" si="65"/>
        <v>0</v>
      </c>
      <c r="BG338" s="262">
        <f t="shared" si="66"/>
        <v>0</v>
      </c>
      <c r="BH338" s="262">
        <f t="shared" si="67"/>
        <v>0</v>
      </c>
      <c r="BI338" s="262">
        <f t="shared" si="68"/>
        <v>0</v>
      </c>
      <c r="BJ338" s="167" t="s">
        <v>219</v>
      </c>
      <c r="BK338" s="262">
        <f t="shared" si="69"/>
        <v>0</v>
      </c>
      <c r="BL338" s="167" t="s">
        <v>127</v>
      </c>
      <c r="BM338" s="261" t="s">
        <v>2459</v>
      </c>
    </row>
    <row r="339" spans="2:65" s="173" customFormat="1" ht="16.5" customHeight="1" x14ac:dyDescent="0.25">
      <c r="B339" s="247"/>
      <c r="C339" s="248" t="s">
        <v>826</v>
      </c>
      <c r="D339" s="248" t="s">
        <v>1876</v>
      </c>
      <c r="E339" s="249" t="s">
        <v>2460</v>
      </c>
      <c r="F339" s="250" t="s">
        <v>2461</v>
      </c>
      <c r="G339" s="251" t="s">
        <v>2462</v>
      </c>
      <c r="H339" s="252">
        <v>1</v>
      </c>
      <c r="I339" s="253"/>
      <c r="J339" s="254">
        <f t="shared" si="60"/>
        <v>0</v>
      </c>
      <c r="K339" s="255"/>
      <c r="L339" s="256"/>
      <c r="M339" s="257" t="s">
        <v>4</v>
      </c>
      <c r="N339" s="258" t="s">
        <v>1821</v>
      </c>
      <c r="P339" s="259">
        <f t="shared" si="61"/>
        <v>0</v>
      </c>
      <c r="Q339" s="259">
        <v>0</v>
      </c>
      <c r="R339" s="259">
        <f t="shared" si="62"/>
        <v>0</v>
      </c>
      <c r="S339" s="259">
        <v>0</v>
      </c>
      <c r="T339" s="260">
        <f t="shared" si="63"/>
        <v>0</v>
      </c>
      <c r="AR339" s="261" t="s">
        <v>1009</v>
      </c>
      <c r="AT339" s="261" t="s">
        <v>1876</v>
      </c>
      <c r="AU339" s="261" t="s">
        <v>227</v>
      </c>
      <c r="AY339" s="167" t="s">
        <v>1873</v>
      </c>
      <c r="BE339" s="262">
        <f t="shared" si="64"/>
        <v>0</v>
      </c>
      <c r="BF339" s="262">
        <f t="shared" si="65"/>
        <v>0</v>
      </c>
      <c r="BG339" s="262">
        <f t="shared" si="66"/>
        <v>0</v>
      </c>
      <c r="BH339" s="262">
        <f t="shared" si="67"/>
        <v>0</v>
      </c>
      <c r="BI339" s="262">
        <f t="shared" si="68"/>
        <v>0</v>
      </c>
      <c r="BJ339" s="167" t="s">
        <v>219</v>
      </c>
      <c r="BK339" s="262">
        <f t="shared" si="69"/>
        <v>0</v>
      </c>
      <c r="BL339" s="167" t="s">
        <v>127</v>
      </c>
      <c r="BM339" s="261" t="s">
        <v>2463</v>
      </c>
    </row>
    <row r="340" spans="2:65" s="173" customFormat="1" ht="16.5" customHeight="1" x14ac:dyDescent="0.25">
      <c r="B340" s="247"/>
      <c r="C340" s="248" t="s">
        <v>829</v>
      </c>
      <c r="D340" s="248" t="s">
        <v>1876</v>
      </c>
      <c r="E340" s="249" t="s">
        <v>2464</v>
      </c>
      <c r="F340" s="250" t="s">
        <v>2465</v>
      </c>
      <c r="G340" s="251" t="s">
        <v>2462</v>
      </c>
      <c r="H340" s="252">
        <v>1</v>
      </c>
      <c r="I340" s="253"/>
      <c r="J340" s="254">
        <f t="shared" si="60"/>
        <v>0</v>
      </c>
      <c r="K340" s="255"/>
      <c r="L340" s="256"/>
      <c r="M340" s="257" t="s">
        <v>4</v>
      </c>
      <c r="N340" s="258" t="s">
        <v>1821</v>
      </c>
      <c r="P340" s="259">
        <f t="shared" si="61"/>
        <v>0</v>
      </c>
      <c r="Q340" s="259">
        <v>0</v>
      </c>
      <c r="R340" s="259">
        <f t="shared" si="62"/>
        <v>0</v>
      </c>
      <c r="S340" s="259">
        <v>0</v>
      </c>
      <c r="T340" s="260">
        <f t="shared" si="63"/>
        <v>0</v>
      </c>
      <c r="AR340" s="261" t="s">
        <v>1009</v>
      </c>
      <c r="AT340" s="261" t="s">
        <v>1876</v>
      </c>
      <c r="AU340" s="261" t="s">
        <v>227</v>
      </c>
      <c r="AY340" s="167" t="s">
        <v>1873</v>
      </c>
      <c r="BE340" s="262">
        <f t="shared" si="64"/>
        <v>0</v>
      </c>
      <c r="BF340" s="262">
        <f t="shared" si="65"/>
        <v>0</v>
      </c>
      <c r="BG340" s="262">
        <f t="shared" si="66"/>
        <v>0</v>
      </c>
      <c r="BH340" s="262">
        <f t="shared" si="67"/>
        <v>0</v>
      </c>
      <c r="BI340" s="262">
        <f t="shared" si="68"/>
        <v>0</v>
      </c>
      <c r="BJ340" s="167" t="s">
        <v>219</v>
      </c>
      <c r="BK340" s="262">
        <f t="shared" si="69"/>
        <v>0</v>
      </c>
      <c r="BL340" s="167" t="s">
        <v>127</v>
      </c>
      <c r="BM340" s="261" t="s">
        <v>2466</v>
      </c>
    </row>
    <row r="341" spans="2:65" s="234" customFormat="1" ht="22.9" customHeight="1" x14ac:dyDescent="0.2">
      <c r="B341" s="235"/>
      <c r="D341" s="236" t="s">
        <v>1870</v>
      </c>
      <c r="E341" s="245" t="s">
        <v>2467</v>
      </c>
      <c r="F341" s="245" t="s">
        <v>2468</v>
      </c>
      <c r="I341" s="238"/>
      <c r="J341" s="246">
        <f>BK341</f>
        <v>0</v>
      </c>
      <c r="L341" s="235"/>
      <c r="M341" s="240"/>
      <c r="P341" s="241">
        <f>SUM(P342:P344)</f>
        <v>0</v>
      </c>
      <c r="R341" s="241">
        <f>SUM(R342:R344)</f>
        <v>0</v>
      </c>
      <c r="T341" s="242">
        <f>SUM(T342:T344)</f>
        <v>0</v>
      </c>
      <c r="AR341" s="236" t="s">
        <v>230</v>
      </c>
      <c r="AT341" s="243" t="s">
        <v>1870</v>
      </c>
      <c r="AU341" s="243" t="s">
        <v>219</v>
      </c>
      <c r="AY341" s="236" t="s">
        <v>1873</v>
      </c>
      <c r="BK341" s="244">
        <f>SUM(BK342:BK344)</f>
        <v>0</v>
      </c>
    </row>
    <row r="342" spans="2:65" s="173" customFormat="1" ht="24.2" customHeight="1" x14ac:dyDescent="0.25">
      <c r="B342" s="247"/>
      <c r="C342" s="263" t="s">
        <v>832</v>
      </c>
      <c r="D342" s="263" t="s">
        <v>1881</v>
      </c>
      <c r="E342" s="264" t="s">
        <v>2469</v>
      </c>
      <c r="F342" s="265" t="s">
        <v>2470</v>
      </c>
      <c r="G342" s="266" t="s">
        <v>329</v>
      </c>
      <c r="H342" s="267">
        <v>15</v>
      </c>
      <c r="I342" s="268"/>
      <c r="J342" s="269">
        <f>ROUND(I342*H342,2)</f>
        <v>0</v>
      </c>
      <c r="K342" s="270"/>
      <c r="L342" s="174"/>
      <c r="M342" s="271" t="s">
        <v>4</v>
      </c>
      <c r="N342" s="272" t="s">
        <v>1821</v>
      </c>
      <c r="P342" s="259">
        <f>O342*H342</f>
        <v>0</v>
      </c>
      <c r="Q342" s="259">
        <v>0</v>
      </c>
      <c r="R342" s="259">
        <f>Q342*H342</f>
        <v>0</v>
      </c>
      <c r="S342" s="259">
        <v>0</v>
      </c>
      <c r="T342" s="260">
        <f>S342*H342</f>
        <v>0</v>
      </c>
      <c r="AR342" s="261" t="s">
        <v>127</v>
      </c>
      <c r="AT342" s="261" t="s">
        <v>1881</v>
      </c>
      <c r="AU342" s="261" t="s">
        <v>227</v>
      </c>
      <c r="AY342" s="167" t="s">
        <v>1873</v>
      </c>
      <c r="BE342" s="262">
        <f>IF(N342="základní",J342,0)</f>
        <v>0</v>
      </c>
      <c r="BF342" s="262">
        <f>IF(N342="snížená",J342,0)</f>
        <v>0</v>
      </c>
      <c r="BG342" s="262">
        <f>IF(N342="zákl. přenesená",J342,0)</f>
        <v>0</v>
      </c>
      <c r="BH342" s="262">
        <f>IF(N342="sníž. přenesená",J342,0)</f>
        <v>0</v>
      </c>
      <c r="BI342" s="262">
        <f>IF(N342="nulová",J342,0)</f>
        <v>0</v>
      </c>
      <c r="BJ342" s="167" t="s">
        <v>219</v>
      </c>
      <c r="BK342" s="262">
        <f>ROUND(I342*H342,2)</f>
        <v>0</v>
      </c>
      <c r="BL342" s="167" t="s">
        <v>127</v>
      </c>
      <c r="BM342" s="261" t="s">
        <v>2471</v>
      </c>
    </row>
    <row r="343" spans="2:65" s="173" customFormat="1" ht="24.2" customHeight="1" x14ac:dyDescent="0.25">
      <c r="B343" s="247"/>
      <c r="C343" s="263" t="s">
        <v>836</v>
      </c>
      <c r="D343" s="263" t="s">
        <v>1881</v>
      </c>
      <c r="E343" s="264" t="s">
        <v>2472</v>
      </c>
      <c r="F343" s="265" t="s">
        <v>2473</v>
      </c>
      <c r="G343" s="266" t="s">
        <v>329</v>
      </c>
      <c r="H343" s="267">
        <v>8</v>
      </c>
      <c r="I343" s="268"/>
      <c r="J343" s="269">
        <f>ROUND(I343*H343,2)</f>
        <v>0</v>
      </c>
      <c r="K343" s="270"/>
      <c r="L343" s="174"/>
      <c r="M343" s="271" t="s">
        <v>4</v>
      </c>
      <c r="N343" s="272" t="s">
        <v>1821</v>
      </c>
      <c r="P343" s="259">
        <f>O343*H343</f>
        <v>0</v>
      </c>
      <c r="Q343" s="259">
        <v>0</v>
      </c>
      <c r="R343" s="259">
        <f>Q343*H343</f>
        <v>0</v>
      </c>
      <c r="S343" s="259">
        <v>0</v>
      </c>
      <c r="T343" s="260">
        <f>S343*H343</f>
        <v>0</v>
      </c>
      <c r="AR343" s="261" t="s">
        <v>127</v>
      </c>
      <c r="AT343" s="261" t="s">
        <v>1881</v>
      </c>
      <c r="AU343" s="261" t="s">
        <v>227</v>
      </c>
      <c r="AY343" s="167" t="s">
        <v>1873</v>
      </c>
      <c r="BE343" s="262">
        <f>IF(N343="základní",J343,0)</f>
        <v>0</v>
      </c>
      <c r="BF343" s="262">
        <f>IF(N343="snížená",J343,0)</f>
        <v>0</v>
      </c>
      <c r="BG343" s="262">
        <f>IF(N343="zákl. přenesená",J343,0)</f>
        <v>0</v>
      </c>
      <c r="BH343" s="262">
        <f>IF(N343="sníž. přenesená",J343,0)</f>
        <v>0</v>
      </c>
      <c r="BI343" s="262">
        <f>IF(N343="nulová",J343,0)</f>
        <v>0</v>
      </c>
      <c r="BJ343" s="167" t="s">
        <v>219</v>
      </c>
      <c r="BK343" s="262">
        <f>ROUND(I343*H343,2)</f>
        <v>0</v>
      </c>
      <c r="BL343" s="167" t="s">
        <v>127</v>
      </c>
      <c r="BM343" s="261" t="s">
        <v>2474</v>
      </c>
    </row>
    <row r="344" spans="2:65" s="173" customFormat="1" ht="24.2" customHeight="1" x14ac:dyDescent="0.25">
      <c r="B344" s="247"/>
      <c r="C344" s="263" t="s">
        <v>839</v>
      </c>
      <c r="D344" s="263" t="s">
        <v>1881</v>
      </c>
      <c r="E344" s="264" t="s">
        <v>2475</v>
      </c>
      <c r="F344" s="265" t="s">
        <v>2476</v>
      </c>
      <c r="G344" s="266" t="s">
        <v>329</v>
      </c>
      <c r="H344" s="267">
        <v>9</v>
      </c>
      <c r="I344" s="268"/>
      <c r="J344" s="269">
        <f>ROUND(I344*H344,2)</f>
        <v>0</v>
      </c>
      <c r="K344" s="270"/>
      <c r="L344" s="174"/>
      <c r="M344" s="271" t="s">
        <v>4</v>
      </c>
      <c r="N344" s="272" t="s">
        <v>1821</v>
      </c>
      <c r="P344" s="259">
        <f>O344*H344</f>
        <v>0</v>
      </c>
      <c r="Q344" s="259">
        <v>0</v>
      </c>
      <c r="R344" s="259">
        <f>Q344*H344</f>
        <v>0</v>
      </c>
      <c r="S344" s="259">
        <v>0</v>
      </c>
      <c r="T344" s="260">
        <f>S344*H344</f>
        <v>0</v>
      </c>
      <c r="AR344" s="261" t="s">
        <v>127</v>
      </c>
      <c r="AT344" s="261" t="s">
        <v>1881</v>
      </c>
      <c r="AU344" s="261" t="s">
        <v>227</v>
      </c>
      <c r="AY344" s="167" t="s">
        <v>1873</v>
      </c>
      <c r="BE344" s="262">
        <f>IF(N344="základní",J344,0)</f>
        <v>0</v>
      </c>
      <c r="BF344" s="262">
        <f>IF(N344="snížená",J344,0)</f>
        <v>0</v>
      </c>
      <c r="BG344" s="262">
        <f>IF(N344="zákl. přenesená",J344,0)</f>
        <v>0</v>
      </c>
      <c r="BH344" s="262">
        <f>IF(N344="sníž. přenesená",J344,0)</f>
        <v>0</v>
      </c>
      <c r="BI344" s="262">
        <f>IF(N344="nulová",J344,0)</f>
        <v>0</v>
      </c>
      <c r="BJ344" s="167" t="s">
        <v>219</v>
      </c>
      <c r="BK344" s="262">
        <f>ROUND(I344*H344,2)</f>
        <v>0</v>
      </c>
      <c r="BL344" s="167" t="s">
        <v>127</v>
      </c>
      <c r="BM344" s="261" t="s">
        <v>2477</v>
      </c>
    </row>
    <row r="345" spans="2:65" s="234" customFormat="1" ht="22.9" customHeight="1" x14ac:dyDescent="0.2">
      <c r="B345" s="235"/>
      <c r="D345" s="236" t="s">
        <v>1870</v>
      </c>
      <c r="E345" s="245" t="s">
        <v>2478</v>
      </c>
      <c r="F345" s="245" t="s">
        <v>2479</v>
      </c>
      <c r="I345" s="238"/>
      <c r="J345" s="246">
        <f>BK345</f>
        <v>0</v>
      </c>
      <c r="L345" s="235"/>
      <c r="M345" s="240"/>
      <c r="P345" s="241">
        <f>SUM(P346:P359)</f>
        <v>0</v>
      </c>
      <c r="R345" s="241">
        <f>SUM(R346:R359)</f>
        <v>1.356E-3</v>
      </c>
      <c r="T345" s="242">
        <f>SUM(T346:T359)</f>
        <v>0</v>
      </c>
      <c r="AR345" s="236" t="s">
        <v>230</v>
      </c>
      <c r="AT345" s="243" t="s">
        <v>1870</v>
      </c>
      <c r="AU345" s="243" t="s">
        <v>219</v>
      </c>
      <c r="AY345" s="236" t="s">
        <v>1873</v>
      </c>
      <c r="BK345" s="244">
        <f>SUM(BK346:BK359)</f>
        <v>0</v>
      </c>
    </row>
    <row r="346" spans="2:65" s="173" customFormat="1" ht="21.75" customHeight="1" x14ac:dyDescent="0.25">
      <c r="B346" s="247"/>
      <c r="C346" s="263" t="s">
        <v>842</v>
      </c>
      <c r="D346" s="263" t="s">
        <v>1881</v>
      </c>
      <c r="E346" s="264" t="s">
        <v>2480</v>
      </c>
      <c r="F346" s="265" t="s">
        <v>2481</v>
      </c>
      <c r="G346" s="266" t="s">
        <v>1166</v>
      </c>
      <c r="H346" s="267">
        <v>8.7999999999999995E-2</v>
      </c>
      <c r="I346" s="268"/>
      <c r="J346" s="269">
        <f t="shared" ref="J346:J359" si="70">ROUND(I346*H346,2)</f>
        <v>0</v>
      </c>
      <c r="K346" s="270"/>
      <c r="L346" s="174"/>
      <c r="M346" s="271" t="s">
        <v>4</v>
      </c>
      <c r="N346" s="272" t="s">
        <v>1821</v>
      </c>
      <c r="P346" s="259">
        <f t="shared" ref="P346:P359" si="71">O346*H346</f>
        <v>0</v>
      </c>
      <c r="Q346" s="259">
        <v>9.9000000000000008E-3</v>
      </c>
      <c r="R346" s="259">
        <f t="shared" ref="R346:R359" si="72">Q346*H346</f>
        <v>8.7120000000000003E-4</v>
      </c>
      <c r="S346" s="259">
        <v>0</v>
      </c>
      <c r="T346" s="260">
        <f t="shared" ref="T346:T359" si="73">S346*H346</f>
        <v>0</v>
      </c>
      <c r="AR346" s="261" t="s">
        <v>127</v>
      </c>
      <c r="AT346" s="261" t="s">
        <v>1881</v>
      </c>
      <c r="AU346" s="261" t="s">
        <v>227</v>
      </c>
      <c r="AY346" s="167" t="s">
        <v>1873</v>
      </c>
      <c r="BE346" s="262">
        <f t="shared" ref="BE346:BE359" si="74">IF(N346="základní",J346,0)</f>
        <v>0</v>
      </c>
      <c r="BF346" s="262">
        <f t="shared" ref="BF346:BF359" si="75">IF(N346="snížená",J346,0)</f>
        <v>0</v>
      </c>
      <c r="BG346" s="262">
        <f t="shared" ref="BG346:BG359" si="76">IF(N346="zákl. přenesená",J346,0)</f>
        <v>0</v>
      </c>
      <c r="BH346" s="262">
        <f t="shared" ref="BH346:BH359" si="77">IF(N346="sníž. přenesená",J346,0)</f>
        <v>0</v>
      </c>
      <c r="BI346" s="262">
        <f t="shared" ref="BI346:BI359" si="78">IF(N346="nulová",J346,0)</f>
        <v>0</v>
      </c>
      <c r="BJ346" s="167" t="s">
        <v>219</v>
      </c>
      <c r="BK346" s="262">
        <f t="shared" ref="BK346:BK359" si="79">ROUND(I346*H346,2)</f>
        <v>0</v>
      </c>
      <c r="BL346" s="167" t="s">
        <v>127</v>
      </c>
      <c r="BM346" s="261" t="s">
        <v>2482</v>
      </c>
    </row>
    <row r="347" spans="2:65" s="173" customFormat="1" ht="24.2" customHeight="1" x14ac:dyDescent="0.25">
      <c r="B347" s="247"/>
      <c r="C347" s="263" t="s">
        <v>845</v>
      </c>
      <c r="D347" s="263" t="s">
        <v>1881</v>
      </c>
      <c r="E347" s="264" t="s">
        <v>2483</v>
      </c>
      <c r="F347" s="265" t="s">
        <v>2484</v>
      </c>
      <c r="G347" s="266" t="s">
        <v>333</v>
      </c>
      <c r="H347" s="267">
        <v>88</v>
      </c>
      <c r="I347" s="268"/>
      <c r="J347" s="269">
        <f t="shared" si="70"/>
        <v>0</v>
      </c>
      <c r="K347" s="270"/>
      <c r="L347" s="174"/>
      <c r="M347" s="271" t="s">
        <v>4</v>
      </c>
      <c r="N347" s="272" t="s">
        <v>1821</v>
      </c>
      <c r="P347" s="259">
        <f t="shared" si="71"/>
        <v>0</v>
      </c>
      <c r="Q347" s="259">
        <v>0</v>
      </c>
      <c r="R347" s="259">
        <f t="shared" si="72"/>
        <v>0</v>
      </c>
      <c r="S347" s="259">
        <v>0</v>
      </c>
      <c r="T347" s="260">
        <f t="shared" si="73"/>
        <v>0</v>
      </c>
      <c r="AR347" s="261" t="s">
        <v>127</v>
      </c>
      <c r="AT347" s="261" t="s">
        <v>1881</v>
      </c>
      <c r="AU347" s="261" t="s">
        <v>227</v>
      </c>
      <c r="AY347" s="167" t="s">
        <v>1873</v>
      </c>
      <c r="BE347" s="262">
        <f t="shared" si="74"/>
        <v>0</v>
      </c>
      <c r="BF347" s="262">
        <f t="shared" si="75"/>
        <v>0</v>
      </c>
      <c r="BG347" s="262">
        <f t="shared" si="76"/>
        <v>0</v>
      </c>
      <c r="BH347" s="262">
        <f t="shared" si="77"/>
        <v>0</v>
      </c>
      <c r="BI347" s="262">
        <f t="shared" si="78"/>
        <v>0</v>
      </c>
      <c r="BJ347" s="167" t="s">
        <v>219</v>
      </c>
      <c r="BK347" s="262">
        <f t="shared" si="79"/>
        <v>0</v>
      </c>
      <c r="BL347" s="167" t="s">
        <v>127</v>
      </c>
      <c r="BM347" s="261" t="s">
        <v>2485</v>
      </c>
    </row>
    <row r="348" spans="2:65" s="173" customFormat="1" ht="24.2" customHeight="1" x14ac:dyDescent="0.25">
      <c r="B348" s="247"/>
      <c r="C348" s="263" t="s">
        <v>848</v>
      </c>
      <c r="D348" s="263" t="s">
        <v>1881</v>
      </c>
      <c r="E348" s="264" t="s">
        <v>2486</v>
      </c>
      <c r="F348" s="265" t="s">
        <v>2487</v>
      </c>
      <c r="G348" s="266" t="s">
        <v>333</v>
      </c>
      <c r="H348" s="267">
        <v>88</v>
      </c>
      <c r="I348" s="268"/>
      <c r="J348" s="269">
        <f t="shared" si="70"/>
        <v>0</v>
      </c>
      <c r="K348" s="270"/>
      <c r="L348" s="174"/>
      <c r="M348" s="271" t="s">
        <v>4</v>
      </c>
      <c r="N348" s="272" t="s">
        <v>1821</v>
      </c>
      <c r="P348" s="259">
        <f t="shared" si="71"/>
        <v>0</v>
      </c>
      <c r="Q348" s="259">
        <v>0</v>
      </c>
      <c r="R348" s="259">
        <f t="shared" si="72"/>
        <v>0</v>
      </c>
      <c r="S348" s="259">
        <v>0</v>
      </c>
      <c r="T348" s="260">
        <f t="shared" si="73"/>
        <v>0</v>
      </c>
      <c r="AR348" s="261" t="s">
        <v>127</v>
      </c>
      <c r="AT348" s="261" t="s">
        <v>1881</v>
      </c>
      <c r="AU348" s="261" t="s">
        <v>227</v>
      </c>
      <c r="AY348" s="167" t="s">
        <v>1873</v>
      </c>
      <c r="BE348" s="262">
        <f t="shared" si="74"/>
        <v>0</v>
      </c>
      <c r="BF348" s="262">
        <f t="shared" si="75"/>
        <v>0</v>
      </c>
      <c r="BG348" s="262">
        <f t="shared" si="76"/>
        <v>0</v>
      </c>
      <c r="BH348" s="262">
        <f t="shared" si="77"/>
        <v>0</v>
      </c>
      <c r="BI348" s="262">
        <f t="shared" si="78"/>
        <v>0</v>
      </c>
      <c r="BJ348" s="167" t="s">
        <v>219</v>
      </c>
      <c r="BK348" s="262">
        <f t="shared" si="79"/>
        <v>0</v>
      </c>
      <c r="BL348" s="167" t="s">
        <v>127</v>
      </c>
      <c r="BM348" s="261" t="s">
        <v>2488</v>
      </c>
    </row>
    <row r="349" spans="2:65" s="173" customFormat="1" ht="16.5" customHeight="1" x14ac:dyDescent="0.25">
      <c r="B349" s="247"/>
      <c r="C349" s="263" t="s">
        <v>851</v>
      </c>
      <c r="D349" s="263" t="s">
        <v>1881</v>
      </c>
      <c r="E349" s="264" t="s">
        <v>2489</v>
      </c>
      <c r="F349" s="265" t="s">
        <v>2490</v>
      </c>
      <c r="G349" s="266" t="s">
        <v>296</v>
      </c>
      <c r="H349" s="267">
        <v>1</v>
      </c>
      <c r="I349" s="268"/>
      <c r="J349" s="269">
        <f t="shared" si="70"/>
        <v>0</v>
      </c>
      <c r="K349" s="270"/>
      <c r="L349" s="174"/>
      <c r="M349" s="271" t="s">
        <v>4</v>
      </c>
      <c r="N349" s="272" t="s">
        <v>1821</v>
      </c>
      <c r="P349" s="259">
        <f t="shared" si="71"/>
        <v>0</v>
      </c>
      <c r="Q349" s="259">
        <v>0</v>
      </c>
      <c r="R349" s="259">
        <f t="shared" si="72"/>
        <v>0</v>
      </c>
      <c r="S349" s="259">
        <v>0</v>
      </c>
      <c r="T349" s="260">
        <f t="shared" si="73"/>
        <v>0</v>
      </c>
      <c r="AR349" s="261" t="s">
        <v>127</v>
      </c>
      <c r="AT349" s="261" t="s">
        <v>1881</v>
      </c>
      <c r="AU349" s="261" t="s">
        <v>227</v>
      </c>
      <c r="AY349" s="167" t="s">
        <v>1873</v>
      </c>
      <c r="BE349" s="262">
        <f t="shared" si="74"/>
        <v>0</v>
      </c>
      <c r="BF349" s="262">
        <f t="shared" si="75"/>
        <v>0</v>
      </c>
      <c r="BG349" s="262">
        <f t="shared" si="76"/>
        <v>0</v>
      </c>
      <c r="BH349" s="262">
        <f t="shared" si="77"/>
        <v>0</v>
      </c>
      <c r="BI349" s="262">
        <f t="shared" si="78"/>
        <v>0</v>
      </c>
      <c r="BJ349" s="167" t="s">
        <v>219</v>
      </c>
      <c r="BK349" s="262">
        <f t="shared" si="79"/>
        <v>0</v>
      </c>
      <c r="BL349" s="167" t="s">
        <v>127</v>
      </c>
      <c r="BM349" s="261" t="s">
        <v>2491</v>
      </c>
    </row>
    <row r="350" spans="2:65" s="173" customFormat="1" ht="24.2" customHeight="1" x14ac:dyDescent="0.25">
      <c r="B350" s="247"/>
      <c r="C350" s="248" t="s">
        <v>854</v>
      </c>
      <c r="D350" s="248" t="s">
        <v>1876</v>
      </c>
      <c r="E350" s="249" t="s">
        <v>2492</v>
      </c>
      <c r="F350" s="250" t="s">
        <v>2493</v>
      </c>
      <c r="G350" s="251" t="s">
        <v>2494</v>
      </c>
      <c r="H350" s="252">
        <v>10</v>
      </c>
      <c r="I350" s="253"/>
      <c r="J350" s="254">
        <f t="shared" si="70"/>
        <v>0</v>
      </c>
      <c r="K350" s="255"/>
      <c r="L350" s="256"/>
      <c r="M350" s="257" t="s">
        <v>4</v>
      </c>
      <c r="N350" s="258" t="s">
        <v>1821</v>
      </c>
      <c r="P350" s="259">
        <f t="shared" si="71"/>
        <v>0</v>
      </c>
      <c r="Q350" s="259">
        <v>0</v>
      </c>
      <c r="R350" s="259">
        <f t="shared" si="72"/>
        <v>0</v>
      </c>
      <c r="S350" s="259">
        <v>0</v>
      </c>
      <c r="T350" s="260">
        <f t="shared" si="73"/>
        <v>0</v>
      </c>
      <c r="AR350" s="261" t="s">
        <v>1009</v>
      </c>
      <c r="AT350" s="261" t="s">
        <v>1876</v>
      </c>
      <c r="AU350" s="261" t="s">
        <v>227</v>
      </c>
      <c r="AY350" s="167" t="s">
        <v>1873</v>
      </c>
      <c r="BE350" s="262">
        <f t="shared" si="74"/>
        <v>0</v>
      </c>
      <c r="BF350" s="262">
        <f t="shared" si="75"/>
        <v>0</v>
      </c>
      <c r="BG350" s="262">
        <f t="shared" si="76"/>
        <v>0</v>
      </c>
      <c r="BH350" s="262">
        <f t="shared" si="77"/>
        <v>0</v>
      </c>
      <c r="BI350" s="262">
        <f t="shared" si="78"/>
        <v>0</v>
      </c>
      <c r="BJ350" s="167" t="s">
        <v>219</v>
      </c>
      <c r="BK350" s="262">
        <f t="shared" si="79"/>
        <v>0</v>
      </c>
      <c r="BL350" s="167" t="s">
        <v>127</v>
      </c>
      <c r="BM350" s="261" t="s">
        <v>2495</v>
      </c>
    </row>
    <row r="351" spans="2:65" s="173" customFormat="1" ht="16.5" customHeight="1" x14ac:dyDescent="0.25">
      <c r="B351" s="247"/>
      <c r="C351" s="263" t="s">
        <v>857</v>
      </c>
      <c r="D351" s="263" t="s">
        <v>1881</v>
      </c>
      <c r="E351" s="264" t="s">
        <v>2489</v>
      </c>
      <c r="F351" s="265" t="s">
        <v>2490</v>
      </c>
      <c r="G351" s="266" t="s">
        <v>296</v>
      </c>
      <c r="H351" s="267">
        <v>0.5</v>
      </c>
      <c r="I351" s="268"/>
      <c r="J351" s="269">
        <f t="shared" si="70"/>
        <v>0</v>
      </c>
      <c r="K351" s="270"/>
      <c r="L351" s="174"/>
      <c r="M351" s="271" t="s">
        <v>4</v>
      </c>
      <c r="N351" s="272" t="s">
        <v>1821</v>
      </c>
      <c r="P351" s="259">
        <f t="shared" si="71"/>
        <v>0</v>
      </c>
      <c r="Q351" s="259">
        <v>0</v>
      </c>
      <c r="R351" s="259">
        <f t="shared" si="72"/>
        <v>0</v>
      </c>
      <c r="S351" s="259">
        <v>0</v>
      </c>
      <c r="T351" s="260">
        <f t="shared" si="73"/>
        <v>0</v>
      </c>
      <c r="AR351" s="261" t="s">
        <v>127</v>
      </c>
      <c r="AT351" s="261" t="s">
        <v>1881</v>
      </c>
      <c r="AU351" s="261" t="s">
        <v>227</v>
      </c>
      <c r="AY351" s="167" t="s">
        <v>1873</v>
      </c>
      <c r="BE351" s="262">
        <f t="shared" si="74"/>
        <v>0</v>
      </c>
      <c r="BF351" s="262">
        <f t="shared" si="75"/>
        <v>0</v>
      </c>
      <c r="BG351" s="262">
        <f t="shared" si="76"/>
        <v>0</v>
      </c>
      <c r="BH351" s="262">
        <f t="shared" si="77"/>
        <v>0</v>
      </c>
      <c r="BI351" s="262">
        <f t="shared" si="78"/>
        <v>0</v>
      </c>
      <c r="BJ351" s="167" t="s">
        <v>219</v>
      </c>
      <c r="BK351" s="262">
        <f t="shared" si="79"/>
        <v>0</v>
      </c>
      <c r="BL351" s="167" t="s">
        <v>127</v>
      </c>
      <c r="BM351" s="261" t="s">
        <v>2496</v>
      </c>
    </row>
    <row r="352" spans="2:65" s="173" customFormat="1" ht="33" customHeight="1" x14ac:dyDescent="0.25">
      <c r="B352" s="247"/>
      <c r="C352" s="263" t="s">
        <v>860</v>
      </c>
      <c r="D352" s="263" t="s">
        <v>1881</v>
      </c>
      <c r="E352" s="264" t="s">
        <v>2497</v>
      </c>
      <c r="F352" s="265" t="s">
        <v>2498</v>
      </c>
      <c r="G352" s="266" t="s">
        <v>333</v>
      </c>
      <c r="H352" s="267">
        <v>120</v>
      </c>
      <c r="I352" s="268"/>
      <c r="J352" s="269">
        <f t="shared" si="70"/>
        <v>0</v>
      </c>
      <c r="K352" s="270"/>
      <c r="L352" s="174"/>
      <c r="M352" s="271" t="s">
        <v>4</v>
      </c>
      <c r="N352" s="272" t="s">
        <v>1821</v>
      </c>
      <c r="P352" s="259">
        <f t="shared" si="71"/>
        <v>0</v>
      </c>
      <c r="Q352" s="259">
        <v>0</v>
      </c>
      <c r="R352" s="259">
        <f t="shared" si="72"/>
        <v>0</v>
      </c>
      <c r="S352" s="259">
        <v>0</v>
      </c>
      <c r="T352" s="260">
        <f t="shared" si="73"/>
        <v>0</v>
      </c>
      <c r="AR352" s="261" t="s">
        <v>127</v>
      </c>
      <c r="AT352" s="261" t="s">
        <v>1881</v>
      </c>
      <c r="AU352" s="261" t="s">
        <v>227</v>
      </c>
      <c r="AY352" s="167" t="s">
        <v>1873</v>
      </c>
      <c r="BE352" s="262">
        <f t="shared" si="74"/>
        <v>0</v>
      </c>
      <c r="BF352" s="262">
        <f t="shared" si="75"/>
        <v>0</v>
      </c>
      <c r="BG352" s="262">
        <f t="shared" si="76"/>
        <v>0</v>
      </c>
      <c r="BH352" s="262">
        <f t="shared" si="77"/>
        <v>0</v>
      </c>
      <c r="BI352" s="262">
        <f t="shared" si="78"/>
        <v>0</v>
      </c>
      <c r="BJ352" s="167" t="s">
        <v>219</v>
      </c>
      <c r="BK352" s="262">
        <f t="shared" si="79"/>
        <v>0</v>
      </c>
      <c r="BL352" s="167" t="s">
        <v>127</v>
      </c>
      <c r="BM352" s="261" t="s">
        <v>2499</v>
      </c>
    </row>
    <row r="353" spans="2:65" s="173" customFormat="1" ht="33" customHeight="1" x14ac:dyDescent="0.25">
      <c r="B353" s="247"/>
      <c r="C353" s="263" t="s">
        <v>863</v>
      </c>
      <c r="D353" s="263" t="s">
        <v>1881</v>
      </c>
      <c r="E353" s="264" t="s">
        <v>2500</v>
      </c>
      <c r="F353" s="265" t="s">
        <v>2501</v>
      </c>
      <c r="G353" s="266" t="s">
        <v>333</v>
      </c>
      <c r="H353" s="267">
        <v>85</v>
      </c>
      <c r="I353" s="268"/>
      <c r="J353" s="269">
        <f t="shared" si="70"/>
        <v>0</v>
      </c>
      <c r="K353" s="270"/>
      <c r="L353" s="174"/>
      <c r="M353" s="271" t="s">
        <v>4</v>
      </c>
      <c r="N353" s="272" t="s">
        <v>1821</v>
      </c>
      <c r="P353" s="259">
        <f t="shared" si="71"/>
        <v>0</v>
      </c>
      <c r="Q353" s="259">
        <v>0</v>
      </c>
      <c r="R353" s="259">
        <f t="shared" si="72"/>
        <v>0</v>
      </c>
      <c r="S353" s="259">
        <v>0</v>
      </c>
      <c r="T353" s="260">
        <f t="shared" si="73"/>
        <v>0</v>
      </c>
      <c r="AR353" s="261" t="s">
        <v>127</v>
      </c>
      <c r="AT353" s="261" t="s">
        <v>1881</v>
      </c>
      <c r="AU353" s="261" t="s">
        <v>227</v>
      </c>
      <c r="AY353" s="167" t="s">
        <v>1873</v>
      </c>
      <c r="BE353" s="262">
        <f t="shared" si="74"/>
        <v>0</v>
      </c>
      <c r="BF353" s="262">
        <f t="shared" si="75"/>
        <v>0</v>
      </c>
      <c r="BG353" s="262">
        <f t="shared" si="76"/>
        <v>0</v>
      </c>
      <c r="BH353" s="262">
        <f t="shared" si="77"/>
        <v>0</v>
      </c>
      <c r="BI353" s="262">
        <f t="shared" si="78"/>
        <v>0</v>
      </c>
      <c r="BJ353" s="167" t="s">
        <v>219</v>
      </c>
      <c r="BK353" s="262">
        <f t="shared" si="79"/>
        <v>0</v>
      </c>
      <c r="BL353" s="167" t="s">
        <v>127</v>
      </c>
      <c r="BM353" s="261" t="s">
        <v>2502</v>
      </c>
    </row>
    <row r="354" spans="2:65" s="173" customFormat="1" ht="33" customHeight="1" x14ac:dyDescent="0.25">
      <c r="B354" s="247"/>
      <c r="C354" s="263" t="s">
        <v>866</v>
      </c>
      <c r="D354" s="263" t="s">
        <v>1881</v>
      </c>
      <c r="E354" s="264" t="s">
        <v>2503</v>
      </c>
      <c r="F354" s="265" t="s">
        <v>2504</v>
      </c>
      <c r="G354" s="266" t="s">
        <v>333</v>
      </c>
      <c r="H354" s="267">
        <v>75</v>
      </c>
      <c r="I354" s="268"/>
      <c r="J354" s="269">
        <f t="shared" si="70"/>
        <v>0</v>
      </c>
      <c r="K354" s="270"/>
      <c r="L354" s="174"/>
      <c r="M354" s="271" t="s">
        <v>4</v>
      </c>
      <c r="N354" s="272" t="s">
        <v>1821</v>
      </c>
      <c r="P354" s="259">
        <f t="shared" si="71"/>
        <v>0</v>
      </c>
      <c r="Q354" s="259">
        <v>0</v>
      </c>
      <c r="R354" s="259">
        <f t="shared" si="72"/>
        <v>0</v>
      </c>
      <c r="S354" s="259">
        <v>0</v>
      </c>
      <c r="T354" s="260">
        <f t="shared" si="73"/>
        <v>0</v>
      </c>
      <c r="AR354" s="261" t="s">
        <v>127</v>
      </c>
      <c r="AT354" s="261" t="s">
        <v>1881</v>
      </c>
      <c r="AU354" s="261" t="s">
        <v>227</v>
      </c>
      <c r="AY354" s="167" t="s">
        <v>1873</v>
      </c>
      <c r="BE354" s="262">
        <f t="shared" si="74"/>
        <v>0</v>
      </c>
      <c r="BF354" s="262">
        <f t="shared" si="75"/>
        <v>0</v>
      </c>
      <c r="BG354" s="262">
        <f t="shared" si="76"/>
        <v>0</v>
      </c>
      <c r="BH354" s="262">
        <f t="shared" si="77"/>
        <v>0</v>
      </c>
      <c r="BI354" s="262">
        <f t="shared" si="78"/>
        <v>0</v>
      </c>
      <c r="BJ354" s="167" t="s">
        <v>219</v>
      </c>
      <c r="BK354" s="262">
        <f t="shared" si="79"/>
        <v>0</v>
      </c>
      <c r="BL354" s="167" t="s">
        <v>127</v>
      </c>
      <c r="BM354" s="261" t="s">
        <v>2505</v>
      </c>
    </row>
    <row r="355" spans="2:65" s="173" customFormat="1" ht="33" customHeight="1" x14ac:dyDescent="0.25">
      <c r="B355" s="247"/>
      <c r="C355" s="263" t="s">
        <v>869</v>
      </c>
      <c r="D355" s="263" t="s">
        <v>1881</v>
      </c>
      <c r="E355" s="264" t="s">
        <v>2506</v>
      </c>
      <c r="F355" s="265" t="s">
        <v>2507</v>
      </c>
      <c r="G355" s="266" t="s">
        <v>333</v>
      </c>
      <c r="H355" s="267">
        <v>65</v>
      </c>
      <c r="I355" s="268"/>
      <c r="J355" s="269">
        <f t="shared" si="70"/>
        <v>0</v>
      </c>
      <c r="K355" s="270"/>
      <c r="L355" s="174"/>
      <c r="M355" s="271" t="s">
        <v>4</v>
      </c>
      <c r="N355" s="272" t="s">
        <v>1821</v>
      </c>
      <c r="P355" s="259">
        <f t="shared" si="71"/>
        <v>0</v>
      </c>
      <c r="Q355" s="259">
        <v>0</v>
      </c>
      <c r="R355" s="259">
        <f t="shared" si="72"/>
        <v>0</v>
      </c>
      <c r="S355" s="259">
        <v>0</v>
      </c>
      <c r="T355" s="260">
        <f t="shared" si="73"/>
        <v>0</v>
      </c>
      <c r="AR355" s="261" t="s">
        <v>127</v>
      </c>
      <c r="AT355" s="261" t="s">
        <v>1881</v>
      </c>
      <c r="AU355" s="261" t="s">
        <v>227</v>
      </c>
      <c r="AY355" s="167" t="s">
        <v>1873</v>
      </c>
      <c r="BE355" s="262">
        <f t="shared" si="74"/>
        <v>0</v>
      </c>
      <c r="BF355" s="262">
        <f t="shared" si="75"/>
        <v>0</v>
      </c>
      <c r="BG355" s="262">
        <f t="shared" si="76"/>
        <v>0</v>
      </c>
      <c r="BH355" s="262">
        <f t="shared" si="77"/>
        <v>0</v>
      </c>
      <c r="BI355" s="262">
        <f t="shared" si="78"/>
        <v>0</v>
      </c>
      <c r="BJ355" s="167" t="s">
        <v>219</v>
      </c>
      <c r="BK355" s="262">
        <f t="shared" si="79"/>
        <v>0</v>
      </c>
      <c r="BL355" s="167" t="s">
        <v>127</v>
      </c>
      <c r="BM355" s="261" t="s">
        <v>2508</v>
      </c>
    </row>
    <row r="356" spans="2:65" s="173" customFormat="1" ht="24.2" customHeight="1" x14ac:dyDescent="0.25">
      <c r="B356" s="247"/>
      <c r="C356" s="263" t="s">
        <v>872</v>
      </c>
      <c r="D356" s="263" t="s">
        <v>1881</v>
      </c>
      <c r="E356" s="264" t="s">
        <v>2509</v>
      </c>
      <c r="F356" s="265" t="s">
        <v>2510</v>
      </c>
      <c r="G356" s="266" t="s">
        <v>329</v>
      </c>
      <c r="H356" s="267">
        <v>176</v>
      </c>
      <c r="I356" s="268"/>
      <c r="J356" s="269">
        <f t="shared" si="70"/>
        <v>0</v>
      </c>
      <c r="K356" s="270"/>
      <c r="L356" s="174"/>
      <c r="M356" s="271" t="s">
        <v>4</v>
      </c>
      <c r="N356" s="272" t="s">
        <v>1821</v>
      </c>
      <c r="P356" s="259">
        <f t="shared" si="71"/>
        <v>0</v>
      </c>
      <c r="Q356" s="259">
        <v>0</v>
      </c>
      <c r="R356" s="259">
        <f t="shared" si="72"/>
        <v>0</v>
      </c>
      <c r="S356" s="259">
        <v>0</v>
      </c>
      <c r="T356" s="260">
        <f t="shared" si="73"/>
        <v>0</v>
      </c>
      <c r="AR356" s="261" t="s">
        <v>127</v>
      </c>
      <c r="AT356" s="261" t="s">
        <v>1881</v>
      </c>
      <c r="AU356" s="261" t="s">
        <v>227</v>
      </c>
      <c r="AY356" s="167" t="s">
        <v>1873</v>
      </c>
      <c r="BE356" s="262">
        <f t="shared" si="74"/>
        <v>0</v>
      </c>
      <c r="BF356" s="262">
        <f t="shared" si="75"/>
        <v>0</v>
      </c>
      <c r="BG356" s="262">
        <f t="shared" si="76"/>
        <v>0</v>
      </c>
      <c r="BH356" s="262">
        <f t="shared" si="77"/>
        <v>0</v>
      </c>
      <c r="BI356" s="262">
        <f t="shared" si="78"/>
        <v>0</v>
      </c>
      <c r="BJ356" s="167" t="s">
        <v>219</v>
      </c>
      <c r="BK356" s="262">
        <f t="shared" si="79"/>
        <v>0</v>
      </c>
      <c r="BL356" s="167" t="s">
        <v>127</v>
      </c>
      <c r="BM356" s="261" t="s">
        <v>2511</v>
      </c>
    </row>
    <row r="357" spans="2:65" s="173" customFormat="1" ht="16.5" customHeight="1" x14ac:dyDescent="0.25">
      <c r="B357" s="247"/>
      <c r="C357" s="248" t="s">
        <v>875</v>
      </c>
      <c r="D357" s="248" t="s">
        <v>1876</v>
      </c>
      <c r="E357" s="249" t="s">
        <v>2512</v>
      </c>
      <c r="F357" s="250" t="s">
        <v>2513</v>
      </c>
      <c r="G357" s="251" t="s">
        <v>2514</v>
      </c>
      <c r="H357" s="252">
        <v>0.17599999999999999</v>
      </c>
      <c r="I357" s="253"/>
      <c r="J357" s="254">
        <f t="shared" si="70"/>
        <v>0</v>
      </c>
      <c r="K357" s="255"/>
      <c r="L357" s="256"/>
      <c r="M357" s="257" t="s">
        <v>4</v>
      </c>
      <c r="N357" s="258" t="s">
        <v>1821</v>
      </c>
      <c r="P357" s="259">
        <f t="shared" si="71"/>
        <v>0</v>
      </c>
      <c r="Q357" s="259">
        <v>1.6000000000000001E-3</v>
      </c>
      <c r="R357" s="259">
        <f t="shared" si="72"/>
        <v>2.8160000000000001E-4</v>
      </c>
      <c r="S357" s="259">
        <v>0</v>
      </c>
      <c r="T357" s="260">
        <f t="shared" si="73"/>
        <v>0</v>
      </c>
      <c r="AR357" s="261" t="s">
        <v>611</v>
      </c>
      <c r="AT357" s="261" t="s">
        <v>1876</v>
      </c>
      <c r="AU357" s="261" t="s">
        <v>227</v>
      </c>
      <c r="AY357" s="167" t="s">
        <v>1873</v>
      </c>
      <c r="BE357" s="262">
        <f t="shared" si="74"/>
        <v>0</v>
      </c>
      <c r="BF357" s="262">
        <f t="shared" si="75"/>
        <v>0</v>
      </c>
      <c r="BG357" s="262">
        <f t="shared" si="76"/>
        <v>0</v>
      </c>
      <c r="BH357" s="262">
        <f t="shared" si="77"/>
        <v>0</v>
      </c>
      <c r="BI357" s="262">
        <f t="shared" si="78"/>
        <v>0</v>
      </c>
      <c r="BJ357" s="167" t="s">
        <v>219</v>
      </c>
      <c r="BK357" s="262">
        <f t="shared" si="79"/>
        <v>0</v>
      </c>
      <c r="BL357" s="167" t="s">
        <v>611</v>
      </c>
      <c r="BM357" s="261" t="s">
        <v>2515</v>
      </c>
    </row>
    <row r="358" spans="2:65" s="173" customFormat="1" ht="24.2" customHeight="1" x14ac:dyDescent="0.25">
      <c r="B358" s="247"/>
      <c r="C358" s="263" t="s">
        <v>878</v>
      </c>
      <c r="D358" s="263" t="s">
        <v>1881</v>
      </c>
      <c r="E358" s="264" t="s">
        <v>2516</v>
      </c>
      <c r="F358" s="265" t="s">
        <v>2517</v>
      </c>
      <c r="G358" s="266" t="s">
        <v>329</v>
      </c>
      <c r="H358" s="267">
        <v>16</v>
      </c>
      <c r="I358" s="268"/>
      <c r="J358" s="269">
        <f t="shared" si="70"/>
        <v>0</v>
      </c>
      <c r="K358" s="270"/>
      <c r="L358" s="174"/>
      <c r="M358" s="271" t="s">
        <v>4</v>
      </c>
      <c r="N358" s="272" t="s">
        <v>1821</v>
      </c>
      <c r="P358" s="259">
        <f t="shared" si="71"/>
        <v>0</v>
      </c>
      <c r="Q358" s="259">
        <v>1.0000000000000001E-5</v>
      </c>
      <c r="R358" s="259">
        <f t="shared" si="72"/>
        <v>1.6000000000000001E-4</v>
      </c>
      <c r="S358" s="259">
        <v>0</v>
      </c>
      <c r="T358" s="260">
        <f t="shared" si="73"/>
        <v>0</v>
      </c>
      <c r="AR358" s="261" t="s">
        <v>127</v>
      </c>
      <c r="AT358" s="261" t="s">
        <v>1881</v>
      </c>
      <c r="AU358" s="261" t="s">
        <v>227</v>
      </c>
      <c r="AY358" s="167" t="s">
        <v>1873</v>
      </c>
      <c r="BE358" s="262">
        <f t="shared" si="74"/>
        <v>0</v>
      </c>
      <c r="BF358" s="262">
        <f t="shared" si="75"/>
        <v>0</v>
      </c>
      <c r="BG358" s="262">
        <f t="shared" si="76"/>
        <v>0</v>
      </c>
      <c r="BH358" s="262">
        <f t="shared" si="77"/>
        <v>0</v>
      </c>
      <c r="BI358" s="262">
        <f t="shared" si="78"/>
        <v>0</v>
      </c>
      <c r="BJ358" s="167" t="s">
        <v>219</v>
      </c>
      <c r="BK358" s="262">
        <f t="shared" si="79"/>
        <v>0</v>
      </c>
      <c r="BL358" s="167" t="s">
        <v>127</v>
      </c>
      <c r="BM358" s="261" t="s">
        <v>2518</v>
      </c>
    </row>
    <row r="359" spans="2:65" s="173" customFormat="1" ht="16.5" customHeight="1" x14ac:dyDescent="0.25">
      <c r="B359" s="247"/>
      <c r="C359" s="248" t="s">
        <v>881</v>
      </c>
      <c r="D359" s="248" t="s">
        <v>1876</v>
      </c>
      <c r="E359" s="249" t="s">
        <v>2519</v>
      </c>
      <c r="F359" s="250" t="s">
        <v>2520</v>
      </c>
      <c r="G359" s="251" t="s">
        <v>2514</v>
      </c>
      <c r="H359" s="252">
        <v>1.6E-2</v>
      </c>
      <c r="I359" s="253"/>
      <c r="J359" s="254">
        <f t="shared" si="70"/>
        <v>0</v>
      </c>
      <c r="K359" s="255"/>
      <c r="L359" s="256"/>
      <c r="M359" s="257" t="s">
        <v>4</v>
      </c>
      <c r="N359" s="258" t="s">
        <v>1821</v>
      </c>
      <c r="P359" s="259">
        <f t="shared" si="71"/>
        <v>0</v>
      </c>
      <c r="Q359" s="259">
        <v>2.7000000000000001E-3</v>
      </c>
      <c r="R359" s="259">
        <f t="shared" si="72"/>
        <v>4.3200000000000007E-5</v>
      </c>
      <c r="S359" s="259">
        <v>0</v>
      </c>
      <c r="T359" s="260">
        <f t="shared" si="73"/>
        <v>0</v>
      </c>
      <c r="AR359" s="261" t="s">
        <v>611</v>
      </c>
      <c r="AT359" s="261" t="s">
        <v>1876</v>
      </c>
      <c r="AU359" s="261" t="s">
        <v>227</v>
      </c>
      <c r="AY359" s="167" t="s">
        <v>1873</v>
      </c>
      <c r="BE359" s="262">
        <f t="shared" si="74"/>
        <v>0</v>
      </c>
      <c r="BF359" s="262">
        <f t="shared" si="75"/>
        <v>0</v>
      </c>
      <c r="BG359" s="262">
        <f t="shared" si="76"/>
        <v>0</v>
      </c>
      <c r="BH359" s="262">
        <f t="shared" si="77"/>
        <v>0</v>
      </c>
      <c r="BI359" s="262">
        <f t="shared" si="78"/>
        <v>0</v>
      </c>
      <c r="BJ359" s="167" t="s">
        <v>219</v>
      </c>
      <c r="BK359" s="262">
        <f t="shared" si="79"/>
        <v>0</v>
      </c>
      <c r="BL359" s="167" t="s">
        <v>611</v>
      </c>
      <c r="BM359" s="261" t="s">
        <v>2521</v>
      </c>
    </row>
    <row r="360" spans="2:65" s="234" customFormat="1" ht="25.9" customHeight="1" x14ac:dyDescent="0.2">
      <c r="B360" s="235"/>
      <c r="D360" s="236" t="s">
        <v>1870</v>
      </c>
      <c r="E360" s="237" t="s">
        <v>2522</v>
      </c>
      <c r="F360" s="237" t="s">
        <v>2523</v>
      </c>
      <c r="I360" s="238"/>
      <c r="J360" s="239">
        <f>BK360</f>
        <v>0</v>
      </c>
      <c r="L360" s="235"/>
      <c r="M360" s="240"/>
      <c r="P360" s="241">
        <f>SUM(P361:P363)</f>
        <v>0</v>
      </c>
      <c r="R360" s="241">
        <f>SUM(R361:R363)</f>
        <v>0</v>
      </c>
      <c r="T360" s="242">
        <f>SUM(T361:T363)</f>
        <v>0</v>
      </c>
      <c r="AR360" s="236" t="s">
        <v>233</v>
      </c>
      <c r="AT360" s="243" t="s">
        <v>1870</v>
      </c>
      <c r="AU360" s="243" t="s">
        <v>1872</v>
      </c>
      <c r="AY360" s="236" t="s">
        <v>1873</v>
      </c>
      <c r="BK360" s="244">
        <f>SUM(BK361:BK363)</f>
        <v>0</v>
      </c>
    </row>
    <row r="361" spans="2:65" s="173" customFormat="1" ht="16.5" customHeight="1" x14ac:dyDescent="0.25">
      <c r="B361" s="247"/>
      <c r="C361" s="263" t="s">
        <v>884</v>
      </c>
      <c r="D361" s="263" t="s">
        <v>1881</v>
      </c>
      <c r="E361" s="264" t="s">
        <v>2524</v>
      </c>
      <c r="F361" s="265" t="s">
        <v>2525</v>
      </c>
      <c r="G361" s="266" t="s">
        <v>803</v>
      </c>
      <c r="H361" s="267">
        <v>1</v>
      </c>
      <c r="I361" s="268"/>
      <c r="J361" s="269">
        <f>ROUND(I361*H361,2)</f>
        <v>0</v>
      </c>
      <c r="K361" s="270"/>
      <c r="L361" s="174"/>
      <c r="M361" s="271" t="s">
        <v>4</v>
      </c>
      <c r="N361" s="272" t="s">
        <v>1821</v>
      </c>
      <c r="P361" s="259">
        <f>O361*H361</f>
        <v>0</v>
      </c>
      <c r="Q361" s="259">
        <v>0</v>
      </c>
      <c r="R361" s="259">
        <f>Q361*H361</f>
        <v>0</v>
      </c>
      <c r="S361" s="259">
        <v>0</v>
      </c>
      <c r="T361" s="260">
        <f>S361*H361</f>
        <v>0</v>
      </c>
      <c r="AR361" s="261" t="s">
        <v>2526</v>
      </c>
      <c r="AT361" s="261" t="s">
        <v>1881</v>
      </c>
      <c r="AU361" s="261" t="s">
        <v>219</v>
      </c>
      <c r="AY361" s="167" t="s">
        <v>1873</v>
      </c>
      <c r="BE361" s="262">
        <f>IF(N361="základní",J361,0)</f>
        <v>0</v>
      </c>
      <c r="BF361" s="262">
        <f>IF(N361="snížená",J361,0)</f>
        <v>0</v>
      </c>
      <c r="BG361" s="262">
        <f>IF(N361="zákl. přenesená",J361,0)</f>
        <v>0</v>
      </c>
      <c r="BH361" s="262">
        <f>IF(N361="sníž. přenesená",J361,0)</f>
        <v>0</v>
      </c>
      <c r="BI361" s="262">
        <f>IF(N361="nulová",J361,0)</f>
        <v>0</v>
      </c>
      <c r="BJ361" s="167" t="s">
        <v>219</v>
      </c>
      <c r="BK361" s="262">
        <f>ROUND(I361*H361,2)</f>
        <v>0</v>
      </c>
      <c r="BL361" s="167" t="s">
        <v>2526</v>
      </c>
      <c r="BM361" s="261" t="s">
        <v>2527</v>
      </c>
    </row>
    <row r="362" spans="2:65" s="173" customFormat="1" ht="24.2" customHeight="1" x14ac:dyDescent="0.25">
      <c r="B362" s="247"/>
      <c r="C362" s="263" t="s">
        <v>887</v>
      </c>
      <c r="D362" s="263" t="s">
        <v>1881</v>
      </c>
      <c r="E362" s="264" t="s">
        <v>2528</v>
      </c>
      <c r="F362" s="265" t="s">
        <v>2529</v>
      </c>
      <c r="G362" s="266" t="s">
        <v>1750</v>
      </c>
      <c r="H362" s="267">
        <v>16</v>
      </c>
      <c r="I362" s="268"/>
      <c r="J362" s="269">
        <f>ROUND(I362*H362,2)</f>
        <v>0</v>
      </c>
      <c r="K362" s="270"/>
      <c r="L362" s="174"/>
      <c r="M362" s="271" t="s">
        <v>4</v>
      </c>
      <c r="N362" s="272" t="s">
        <v>1821</v>
      </c>
      <c r="P362" s="259">
        <f>O362*H362</f>
        <v>0</v>
      </c>
      <c r="Q362" s="259">
        <v>0</v>
      </c>
      <c r="R362" s="259">
        <f>Q362*H362</f>
        <v>0</v>
      </c>
      <c r="S362" s="259">
        <v>0</v>
      </c>
      <c r="T362" s="260">
        <f>S362*H362</f>
        <v>0</v>
      </c>
      <c r="AR362" s="261" t="s">
        <v>2526</v>
      </c>
      <c r="AT362" s="261" t="s">
        <v>1881</v>
      </c>
      <c r="AU362" s="261" t="s">
        <v>219</v>
      </c>
      <c r="AY362" s="167" t="s">
        <v>1873</v>
      </c>
      <c r="BE362" s="262">
        <f>IF(N362="základní",J362,0)</f>
        <v>0</v>
      </c>
      <c r="BF362" s="262">
        <f>IF(N362="snížená",J362,0)</f>
        <v>0</v>
      </c>
      <c r="BG362" s="262">
        <f>IF(N362="zákl. přenesená",J362,0)</f>
        <v>0</v>
      </c>
      <c r="BH362" s="262">
        <f>IF(N362="sníž. přenesená",J362,0)</f>
        <v>0</v>
      </c>
      <c r="BI362" s="262">
        <f>IF(N362="nulová",J362,0)</f>
        <v>0</v>
      </c>
      <c r="BJ362" s="167" t="s">
        <v>219</v>
      </c>
      <c r="BK362" s="262">
        <f>ROUND(I362*H362,2)</f>
        <v>0</v>
      </c>
      <c r="BL362" s="167" t="s">
        <v>2526</v>
      </c>
      <c r="BM362" s="261" t="s">
        <v>2530</v>
      </c>
    </row>
    <row r="363" spans="2:65" s="173" customFormat="1" ht="24.2" customHeight="1" x14ac:dyDescent="0.25">
      <c r="B363" s="247"/>
      <c r="C363" s="263" t="s">
        <v>891</v>
      </c>
      <c r="D363" s="263" t="s">
        <v>1881</v>
      </c>
      <c r="E363" s="264" t="s">
        <v>2531</v>
      </c>
      <c r="F363" s="265" t="s">
        <v>2532</v>
      </c>
      <c r="G363" s="266" t="s">
        <v>1750</v>
      </c>
      <c r="H363" s="267">
        <v>8</v>
      </c>
      <c r="I363" s="268"/>
      <c r="J363" s="269">
        <f>ROUND(I363*H363,2)</f>
        <v>0</v>
      </c>
      <c r="K363" s="270"/>
      <c r="L363" s="174"/>
      <c r="M363" s="271" t="s">
        <v>4</v>
      </c>
      <c r="N363" s="272" t="s">
        <v>1821</v>
      </c>
      <c r="P363" s="259">
        <f>O363*H363</f>
        <v>0</v>
      </c>
      <c r="Q363" s="259">
        <v>0</v>
      </c>
      <c r="R363" s="259">
        <f>Q363*H363</f>
        <v>0</v>
      </c>
      <c r="S363" s="259">
        <v>0</v>
      </c>
      <c r="T363" s="260">
        <f>S363*H363</f>
        <v>0</v>
      </c>
      <c r="AR363" s="261" t="s">
        <v>2526</v>
      </c>
      <c r="AT363" s="261" t="s">
        <v>1881</v>
      </c>
      <c r="AU363" s="261" t="s">
        <v>219</v>
      </c>
      <c r="AY363" s="167" t="s">
        <v>1873</v>
      </c>
      <c r="BE363" s="262">
        <f>IF(N363="základní",J363,0)</f>
        <v>0</v>
      </c>
      <c r="BF363" s="262">
        <f>IF(N363="snížená",J363,0)</f>
        <v>0</v>
      </c>
      <c r="BG363" s="262">
        <f>IF(N363="zákl. přenesená",J363,0)</f>
        <v>0</v>
      </c>
      <c r="BH363" s="262">
        <f>IF(N363="sníž. přenesená",J363,0)</f>
        <v>0</v>
      </c>
      <c r="BI363" s="262">
        <f>IF(N363="nulová",J363,0)</f>
        <v>0</v>
      </c>
      <c r="BJ363" s="167" t="s">
        <v>219</v>
      </c>
      <c r="BK363" s="262">
        <f>ROUND(I363*H363,2)</f>
        <v>0</v>
      </c>
      <c r="BL363" s="167" t="s">
        <v>2526</v>
      </c>
      <c r="BM363" s="261" t="s">
        <v>2533</v>
      </c>
    </row>
    <row r="364" spans="2:65" s="234" customFormat="1" ht="25.9" customHeight="1" x14ac:dyDescent="0.2">
      <c r="B364" s="235"/>
      <c r="D364" s="236" t="s">
        <v>1870</v>
      </c>
      <c r="E364" s="237" t="s">
        <v>2534</v>
      </c>
      <c r="F364" s="237" t="s">
        <v>2535</v>
      </c>
      <c r="I364" s="238"/>
      <c r="J364" s="239">
        <f>BK364</f>
        <v>0</v>
      </c>
      <c r="L364" s="235"/>
      <c r="M364" s="240"/>
      <c r="P364" s="241">
        <f>P365+P367+P369</f>
        <v>0</v>
      </c>
      <c r="R364" s="241">
        <f>R365+R367+R369</f>
        <v>0</v>
      </c>
      <c r="T364" s="242">
        <f>T365+T367+T369</f>
        <v>0</v>
      </c>
      <c r="AR364" s="236" t="s">
        <v>237</v>
      </c>
      <c r="AT364" s="243" t="s">
        <v>1870</v>
      </c>
      <c r="AU364" s="243" t="s">
        <v>1872</v>
      </c>
      <c r="AY364" s="236" t="s">
        <v>1873</v>
      </c>
      <c r="BK364" s="244">
        <f>BK365+BK367+BK369</f>
        <v>0</v>
      </c>
    </row>
    <row r="365" spans="2:65" s="234" customFormat="1" ht="22.9" customHeight="1" x14ac:dyDescent="0.2">
      <c r="B365" s="235"/>
      <c r="D365" s="236" t="s">
        <v>1870</v>
      </c>
      <c r="E365" s="245" t="s">
        <v>2536</v>
      </c>
      <c r="F365" s="245" t="s">
        <v>2537</v>
      </c>
      <c r="I365" s="238"/>
      <c r="J365" s="246">
        <f>BK365</f>
        <v>0</v>
      </c>
      <c r="L365" s="235"/>
      <c r="M365" s="240"/>
      <c r="P365" s="241">
        <f>P366</f>
        <v>0</v>
      </c>
      <c r="R365" s="241">
        <f>R366</f>
        <v>0</v>
      </c>
      <c r="T365" s="242">
        <f>T366</f>
        <v>0</v>
      </c>
      <c r="AR365" s="236" t="s">
        <v>237</v>
      </c>
      <c r="AT365" s="243" t="s">
        <v>1870</v>
      </c>
      <c r="AU365" s="243" t="s">
        <v>219</v>
      </c>
      <c r="AY365" s="236" t="s">
        <v>1873</v>
      </c>
      <c r="BK365" s="244">
        <f>BK366</f>
        <v>0</v>
      </c>
    </row>
    <row r="366" spans="2:65" s="173" customFormat="1" ht="16.5" customHeight="1" x14ac:dyDescent="0.25">
      <c r="B366" s="247"/>
      <c r="C366" s="263" t="s">
        <v>894</v>
      </c>
      <c r="D366" s="263" t="s">
        <v>1881</v>
      </c>
      <c r="E366" s="264" t="s">
        <v>2538</v>
      </c>
      <c r="F366" s="265" t="s">
        <v>2539</v>
      </c>
      <c r="G366" s="266" t="s">
        <v>1695</v>
      </c>
      <c r="H366" s="267">
        <v>1</v>
      </c>
      <c r="I366" s="268"/>
      <c r="J366" s="269">
        <f>ROUND(I366*H366,2)</f>
        <v>0</v>
      </c>
      <c r="K366" s="270"/>
      <c r="L366" s="174"/>
      <c r="M366" s="271" t="s">
        <v>4</v>
      </c>
      <c r="N366" s="272" t="s">
        <v>1821</v>
      </c>
      <c r="P366" s="259">
        <f>O366*H366</f>
        <v>0</v>
      </c>
      <c r="Q366" s="259">
        <v>0</v>
      </c>
      <c r="R366" s="259">
        <f>Q366*H366</f>
        <v>0</v>
      </c>
      <c r="S366" s="259">
        <v>0</v>
      </c>
      <c r="T366" s="260">
        <f>S366*H366</f>
        <v>0</v>
      </c>
      <c r="AR366" s="261" t="s">
        <v>2540</v>
      </c>
      <c r="AT366" s="261" t="s">
        <v>1881</v>
      </c>
      <c r="AU366" s="261" t="s">
        <v>227</v>
      </c>
      <c r="AY366" s="167" t="s">
        <v>1873</v>
      </c>
      <c r="BE366" s="262">
        <f>IF(N366="základní",J366,0)</f>
        <v>0</v>
      </c>
      <c r="BF366" s="262">
        <f>IF(N366="snížená",J366,0)</f>
        <v>0</v>
      </c>
      <c r="BG366" s="262">
        <f>IF(N366="zákl. přenesená",J366,0)</f>
        <v>0</v>
      </c>
      <c r="BH366" s="262">
        <f>IF(N366="sníž. přenesená",J366,0)</f>
        <v>0</v>
      </c>
      <c r="BI366" s="262">
        <f>IF(N366="nulová",J366,0)</f>
        <v>0</v>
      </c>
      <c r="BJ366" s="167" t="s">
        <v>219</v>
      </c>
      <c r="BK366" s="262">
        <f>ROUND(I366*H366,2)</f>
        <v>0</v>
      </c>
      <c r="BL366" s="167" t="s">
        <v>2540</v>
      </c>
      <c r="BM366" s="261" t="s">
        <v>2541</v>
      </c>
    </row>
    <row r="367" spans="2:65" s="234" customFormat="1" ht="22.9" customHeight="1" x14ac:dyDescent="0.2">
      <c r="B367" s="235"/>
      <c r="D367" s="236" t="s">
        <v>1870</v>
      </c>
      <c r="E367" s="245" t="s">
        <v>2542</v>
      </c>
      <c r="F367" s="245" t="s">
        <v>26</v>
      </c>
      <c r="I367" s="238"/>
      <c r="J367" s="246">
        <f>BK367</f>
        <v>0</v>
      </c>
      <c r="L367" s="235"/>
      <c r="M367" s="240"/>
      <c r="P367" s="241">
        <f>P368</f>
        <v>0</v>
      </c>
      <c r="R367" s="241">
        <f>R368</f>
        <v>0</v>
      </c>
      <c r="T367" s="242">
        <f>T368</f>
        <v>0</v>
      </c>
      <c r="AR367" s="236" t="s">
        <v>237</v>
      </c>
      <c r="AT367" s="243" t="s">
        <v>1870</v>
      </c>
      <c r="AU367" s="243" t="s">
        <v>219</v>
      </c>
      <c r="AY367" s="236" t="s">
        <v>1873</v>
      </c>
      <c r="BK367" s="244">
        <f>BK368</f>
        <v>0</v>
      </c>
    </row>
    <row r="368" spans="2:65" s="173" customFormat="1" ht="16.5" customHeight="1" x14ac:dyDescent="0.25">
      <c r="B368" s="247"/>
      <c r="C368" s="263" t="s">
        <v>897</v>
      </c>
      <c r="D368" s="263" t="s">
        <v>1881</v>
      </c>
      <c r="E368" s="264" t="s">
        <v>2543</v>
      </c>
      <c r="F368" s="265" t="s">
        <v>2544</v>
      </c>
      <c r="G368" s="266" t="s">
        <v>1695</v>
      </c>
      <c r="H368" s="267">
        <v>2</v>
      </c>
      <c r="I368" s="268"/>
      <c r="J368" s="269">
        <f>ROUND(I368*H368,2)</f>
        <v>0</v>
      </c>
      <c r="K368" s="270"/>
      <c r="L368" s="174"/>
      <c r="M368" s="271" t="s">
        <v>4</v>
      </c>
      <c r="N368" s="272" t="s">
        <v>1821</v>
      </c>
      <c r="P368" s="259">
        <f>O368*H368</f>
        <v>0</v>
      </c>
      <c r="Q368" s="259">
        <v>0</v>
      </c>
      <c r="R368" s="259">
        <f>Q368*H368</f>
        <v>0</v>
      </c>
      <c r="S368" s="259">
        <v>0</v>
      </c>
      <c r="T368" s="260">
        <f>S368*H368</f>
        <v>0</v>
      </c>
      <c r="AR368" s="261" t="s">
        <v>2540</v>
      </c>
      <c r="AT368" s="261" t="s">
        <v>1881</v>
      </c>
      <c r="AU368" s="261" t="s">
        <v>227</v>
      </c>
      <c r="AY368" s="167" t="s">
        <v>1873</v>
      </c>
      <c r="BE368" s="262">
        <f>IF(N368="základní",J368,0)</f>
        <v>0</v>
      </c>
      <c r="BF368" s="262">
        <f>IF(N368="snížená",J368,0)</f>
        <v>0</v>
      </c>
      <c r="BG368" s="262">
        <f>IF(N368="zákl. přenesená",J368,0)</f>
        <v>0</v>
      </c>
      <c r="BH368" s="262">
        <f>IF(N368="sníž. přenesená",J368,0)</f>
        <v>0</v>
      </c>
      <c r="BI368" s="262">
        <f>IF(N368="nulová",J368,0)</f>
        <v>0</v>
      </c>
      <c r="BJ368" s="167" t="s">
        <v>219</v>
      </c>
      <c r="BK368" s="262">
        <f>ROUND(I368*H368,2)</f>
        <v>0</v>
      </c>
      <c r="BL368" s="167" t="s">
        <v>2540</v>
      </c>
      <c r="BM368" s="261" t="s">
        <v>2545</v>
      </c>
    </row>
    <row r="369" spans="2:65" s="234" customFormat="1" ht="22.9" customHeight="1" x14ac:dyDescent="0.2">
      <c r="B369" s="235"/>
      <c r="D369" s="236" t="s">
        <v>1870</v>
      </c>
      <c r="E369" s="245" t="s">
        <v>2546</v>
      </c>
      <c r="F369" s="245" t="s">
        <v>2547</v>
      </c>
      <c r="I369" s="238"/>
      <c r="J369" s="246">
        <f>BK369</f>
        <v>0</v>
      </c>
      <c r="L369" s="235"/>
      <c r="M369" s="240"/>
      <c r="P369" s="241">
        <f>SUM(P370:P371)</f>
        <v>0</v>
      </c>
      <c r="R369" s="241">
        <f>SUM(R370:R371)</f>
        <v>0</v>
      </c>
      <c r="T369" s="242">
        <f>SUM(T370:T371)</f>
        <v>0</v>
      </c>
      <c r="AR369" s="236" t="s">
        <v>237</v>
      </c>
      <c r="AT369" s="243" t="s">
        <v>1870</v>
      </c>
      <c r="AU369" s="243" t="s">
        <v>219</v>
      </c>
      <c r="AY369" s="236" t="s">
        <v>1873</v>
      </c>
      <c r="BK369" s="244">
        <f>SUM(BK370:BK371)</f>
        <v>0</v>
      </c>
    </row>
    <row r="370" spans="2:65" s="173" customFormat="1" ht="16.5" customHeight="1" x14ac:dyDescent="0.25">
      <c r="B370" s="247"/>
      <c r="C370" s="263" t="s">
        <v>900</v>
      </c>
      <c r="D370" s="263" t="s">
        <v>1881</v>
      </c>
      <c r="E370" s="264" t="s">
        <v>2548</v>
      </c>
      <c r="F370" s="265" t="s">
        <v>2549</v>
      </c>
      <c r="G370" s="266" t="s">
        <v>1750</v>
      </c>
      <c r="H370" s="267">
        <v>10</v>
      </c>
      <c r="I370" s="268"/>
      <c r="J370" s="269">
        <f>ROUND(I370*H370,2)</f>
        <v>0</v>
      </c>
      <c r="K370" s="270"/>
      <c r="L370" s="174"/>
      <c r="M370" s="271" t="s">
        <v>4</v>
      </c>
      <c r="N370" s="272" t="s">
        <v>1821</v>
      </c>
      <c r="P370" s="259">
        <f>O370*H370</f>
        <v>0</v>
      </c>
      <c r="Q370" s="259">
        <v>0</v>
      </c>
      <c r="R370" s="259">
        <f>Q370*H370</f>
        <v>0</v>
      </c>
      <c r="S370" s="259">
        <v>0</v>
      </c>
      <c r="T370" s="260">
        <f>S370*H370</f>
        <v>0</v>
      </c>
      <c r="AR370" s="261" t="s">
        <v>2540</v>
      </c>
      <c r="AT370" s="261" t="s">
        <v>1881</v>
      </c>
      <c r="AU370" s="261" t="s">
        <v>227</v>
      </c>
      <c r="AY370" s="167" t="s">
        <v>1873</v>
      </c>
      <c r="BE370" s="262">
        <f>IF(N370="základní",J370,0)</f>
        <v>0</v>
      </c>
      <c r="BF370" s="262">
        <f>IF(N370="snížená",J370,0)</f>
        <v>0</v>
      </c>
      <c r="BG370" s="262">
        <f>IF(N370="zákl. přenesená",J370,0)</f>
        <v>0</v>
      </c>
      <c r="BH370" s="262">
        <f>IF(N370="sníž. přenesená",J370,0)</f>
        <v>0</v>
      </c>
      <c r="BI370" s="262">
        <f>IF(N370="nulová",J370,0)</f>
        <v>0</v>
      </c>
      <c r="BJ370" s="167" t="s">
        <v>219</v>
      </c>
      <c r="BK370" s="262">
        <f>ROUND(I370*H370,2)</f>
        <v>0</v>
      </c>
      <c r="BL370" s="167" t="s">
        <v>2540</v>
      </c>
      <c r="BM370" s="261" t="s">
        <v>2550</v>
      </c>
    </row>
    <row r="371" spans="2:65" s="173" customFormat="1" ht="16.5" customHeight="1" x14ac:dyDescent="0.25">
      <c r="B371" s="247"/>
      <c r="C371" s="263" t="s">
        <v>903</v>
      </c>
      <c r="D371" s="263" t="s">
        <v>1881</v>
      </c>
      <c r="E371" s="264" t="s">
        <v>2551</v>
      </c>
      <c r="F371" s="265" t="s">
        <v>2552</v>
      </c>
      <c r="G371" s="266" t="s">
        <v>1695</v>
      </c>
      <c r="H371" s="267">
        <v>2</v>
      </c>
      <c r="I371" s="268"/>
      <c r="J371" s="269">
        <f>ROUND(I371*H371,2)</f>
        <v>0</v>
      </c>
      <c r="K371" s="270"/>
      <c r="L371" s="174"/>
      <c r="M371" s="274" t="s">
        <v>4</v>
      </c>
      <c r="N371" s="275" t="s">
        <v>1821</v>
      </c>
      <c r="O371" s="276"/>
      <c r="P371" s="277">
        <f>O371*H371</f>
        <v>0</v>
      </c>
      <c r="Q371" s="277">
        <v>0</v>
      </c>
      <c r="R371" s="277">
        <f>Q371*H371</f>
        <v>0</v>
      </c>
      <c r="S371" s="277">
        <v>0</v>
      </c>
      <c r="T371" s="278">
        <f>S371*H371</f>
        <v>0</v>
      </c>
      <c r="AR371" s="261" t="s">
        <v>2540</v>
      </c>
      <c r="AT371" s="261" t="s">
        <v>1881</v>
      </c>
      <c r="AU371" s="261" t="s">
        <v>227</v>
      </c>
      <c r="AY371" s="167" t="s">
        <v>1873</v>
      </c>
      <c r="BE371" s="262">
        <f>IF(N371="základní",J371,0)</f>
        <v>0</v>
      </c>
      <c r="BF371" s="262">
        <f>IF(N371="snížená",J371,0)</f>
        <v>0</v>
      </c>
      <c r="BG371" s="262">
        <f>IF(N371="zákl. přenesená",J371,0)</f>
        <v>0</v>
      </c>
      <c r="BH371" s="262">
        <f>IF(N371="sníž. přenesená",J371,0)</f>
        <v>0</v>
      </c>
      <c r="BI371" s="262">
        <f>IF(N371="nulová",J371,0)</f>
        <v>0</v>
      </c>
      <c r="BJ371" s="167" t="s">
        <v>219</v>
      </c>
      <c r="BK371" s="262">
        <f>ROUND(I371*H371,2)</f>
        <v>0</v>
      </c>
      <c r="BL371" s="167" t="s">
        <v>2540</v>
      </c>
      <c r="BM371" s="261" t="s">
        <v>2553</v>
      </c>
    </row>
    <row r="372" spans="2:65" s="173" customFormat="1" ht="6.95" customHeight="1" x14ac:dyDescent="0.25">
      <c r="B372" s="202"/>
      <c r="C372" s="203"/>
      <c r="D372" s="203"/>
      <c r="E372" s="203"/>
      <c r="F372" s="203"/>
      <c r="G372" s="203"/>
      <c r="H372" s="203"/>
      <c r="I372" s="203"/>
      <c r="J372" s="203"/>
      <c r="K372" s="203"/>
      <c r="L372" s="174"/>
    </row>
  </sheetData>
  <autoFilter ref="C130:K371" xr:uid="{00000000-0009-0000-0000-000001000000}"/>
  <mergeCells count="6">
    <mergeCell ref="E123:H123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</vt:i4>
      </vt:variant>
    </vt:vector>
  </HeadingPairs>
  <TitlesOfParts>
    <vt:vector size="11" baseType="lpstr">
      <vt:lpstr>Krycí list rozpočtu</vt:lpstr>
      <vt:lpstr>VORN</vt:lpstr>
      <vt:lpstr>Rozpočet - podskupiny</vt:lpstr>
      <vt:lpstr>Stavební rozpočet</vt:lpstr>
      <vt:lpstr>Výkaz výměr</vt:lpstr>
      <vt:lpstr>Zdroj tepla</vt:lpstr>
      <vt:lpstr>D.skupina</vt:lpstr>
      <vt:lpstr>Elektroinstalace</vt:lpstr>
      <vt:lpstr>Elektroinstalace!Názvy_tisku</vt:lpstr>
      <vt:lpstr>Elektroinstalace!Oblast_tisku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Romana Kocourová</cp:lastModifiedBy>
  <dcterms:created xsi:type="dcterms:W3CDTF">2021-06-10T20:06:38Z</dcterms:created>
  <dcterms:modified xsi:type="dcterms:W3CDTF">2025-04-09T11:37:02Z</dcterms:modified>
</cp:coreProperties>
</file>