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aziste-my.sharepoint.com/personal/romana_kocourova_straziste_cz/Documents/VŘ/obec Cetoraz/2025/dětská skupina/"/>
    </mc:Choice>
  </mc:AlternateContent>
  <xr:revisionPtr revIDLastSave="7" documentId="8_{8BFD948E-2830-4DA5-A51D-04C19F0671EA}" xr6:coauthVersionLast="47" xr6:coauthVersionMax="47" xr10:uidLastSave="{32648D71-5A8F-45FB-9C83-633777E608CC}"/>
  <bookViews>
    <workbookView xWindow="-120" yWindow="-120" windowWidth="29040" windowHeight="15720" firstSheet="3" activeTab="8" xr2:uid="{00000000-000D-0000-FFFF-FFFF00000000}"/>
  </bookViews>
  <sheets>
    <sheet name="Krycí list rozpočtu" sheetId="1" r:id="rId1"/>
    <sheet name="VORN" sheetId="2" r:id="rId2"/>
    <sheet name="Rozpočet - podskupiny" sheetId="3" r:id="rId3"/>
    <sheet name="Stavební rozpočet" sheetId="4" r:id="rId4"/>
    <sheet name="Výkaz výměr" sheetId="5" r:id="rId5"/>
    <sheet name="BYT" sheetId="6" r:id="rId6"/>
    <sheet name="Kancelář 1" sheetId="7" r:id="rId7"/>
    <sheet name="Kancelář 2" sheetId="8" r:id="rId8"/>
    <sheet name="Elektroinstalace" sheetId="9" r:id="rId9"/>
  </sheets>
  <externalReferences>
    <externalReference r:id="rId10"/>
  </externalReferences>
  <definedNames>
    <definedName name="_xlnm._FilterDatabase" localSheetId="8" hidden="1">Elektroinstalace!$C$129:$K$315</definedName>
    <definedName name="_xlnm.Print_Titles" localSheetId="8">Elektroinstalace!$129:$129</definedName>
    <definedName name="_xlnm.Print_Area" localSheetId="8">Elektroinstalace!$C$4:$J$76,Elektroinstalace!$C$82:$J$113,Elektroinstalace!$C$119:$J$315</definedName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15" i="9" l="1"/>
  <c r="BI315" i="9"/>
  <c r="BH315" i="9"/>
  <c r="BG315" i="9"/>
  <c r="BF315" i="9"/>
  <c r="T315" i="9"/>
  <c r="R315" i="9"/>
  <c r="P315" i="9"/>
  <c r="J315" i="9"/>
  <c r="BE315" i="9" s="1"/>
  <c r="BK314" i="9"/>
  <c r="BK313" i="9" s="1"/>
  <c r="J313" i="9" s="1"/>
  <c r="J112" i="9" s="1"/>
  <c r="BI314" i="9"/>
  <c r="BH314" i="9"/>
  <c r="BG314" i="9"/>
  <c r="BF314" i="9"/>
  <c r="T314" i="9"/>
  <c r="R314" i="9"/>
  <c r="P314" i="9"/>
  <c r="P313" i="9" s="1"/>
  <c r="J314" i="9"/>
  <c r="BE314" i="9" s="1"/>
  <c r="BK312" i="9"/>
  <c r="BK311" i="9" s="1"/>
  <c r="BI312" i="9"/>
  <c r="BH312" i="9"/>
  <c r="BG312" i="9"/>
  <c r="BF312" i="9"/>
  <c r="T312" i="9"/>
  <c r="T311" i="9" s="1"/>
  <c r="R312" i="9"/>
  <c r="R311" i="9" s="1"/>
  <c r="P312" i="9"/>
  <c r="P311" i="9" s="1"/>
  <c r="J312" i="9"/>
  <c r="BE312" i="9" s="1"/>
  <c r="BK310" i="9"/>
  <c r="BK309" i="9" s="1"/>
  <c r="J309" i="9" s="1"/>
  <c r="J110" i="9" s="1"/>
  <c r="BI310" i="9"/>
  <c r="BH310" i="9"/>
  <c r="BG310" i="9"/>
  <c r="BF310" i="9"/>
  <c r="T310" i="9"/>
  <c r="T309" i="9" s="1"/>
  <c r="R310" i="9"/>
  <c r="R309" i="9" s="1"/>
  <c r="P310" i="9"/>
  <c r="P309" i="9" s="1"/>
  <c r="J310" i="9"/>
  <c r="BE310" i="9" s="1"/>
  <c r="BK307" i="9"/>
  <c r="BI307" i="9"/>
  <c r="BH307" i="9"/>
  <c r="BG307" i="9"/>
  <c r="BF307" i="9"/>
  <c r="BE307" i="9"/>
  <c r="T307" i="9"/>
  <c r="R307" i="9"/>
  <c r="P307" i="9"/>
  <c r="J307" i="9"/>
  <c r="BK306" i="9"/>
  <c r="BI306" i="9"/>
  <c r="BH306" i="9"/>
  <c r="BG306" i="9"/>
  <c r="BF306" i="9"/>
  <c r="T306" i="9"/>
  <c r="R306" i="9"/>
  <c r="P306" i="9"/>
  <c r="J306" i="9"/>
  <c r="BE306" i="9" s="1"/>
  <c r="BK305" i="9"/>
  <c r="BI305" i="9"/>
  <c r="BH305" i="9"/>
  <c r="BG305" i="9"/>
  <c r="BF305" i="9"/>
  <c r="T305" i="9"/>
  <c r="R305" i="9"/>
  <c r="P305" i="9"/>
  <c r="J305" i="9"/>
  <c r="BE305" i="9" s="1"/>
  <c r="BK304" i="9"/>
  <c r="BI304" i="9"/>
  <c r="BH304" i="9"/>
  <c r="BG304" i="9"/>
  <c r="BF304" i="9"/>
  <c r="T304" i="9"/>
  <c r="R304" i="9"/>
  <c r="P304" i="9"/>
  <c r="J304" i="9"/>
  <c r="BE304" i="9" s="1"/>
  <c r="BK303" i="9"/>
  <c r="BI303" i="9"/>
  <c r="BH303" i="9"/>
  <c r="BG303" i="9"/>
  <c r="BF303" i="9"/>
  <c r="T303" i="9"/>
  <c r="R303" i="9"/>
  <c r="P303" i="9"/>
  <c r="J303" i="9"/>
  <c r="BE303" i="9" s="1"/>
  <c r="BK302" i="9"/>
  <c r="BI302" i="9"/>
  <c r="BH302" i="9"/>
  <c r="BG302" i="9"/>
  <c r="BF302" i="9"/>
  <c r="T302" i="9"/>
  <c r="R302" i="9"/>
  <c r="P302" i="9"/>
  <c r="J302" i="9"/>
  <c r="BE302" i="9" s="1"/>
  <c r="BK301" i="9"/>
  <c r="BI301" i="9"/>
  <c r="BH301" i="9"/>
  <c r="BG301" i="9"/>
  <c r="BF301" i="9"/>
  <c r="T301" i="9"/>
  <c r="R301" i="9"/>
  <c r="P301" i="9"/>
  <c r="J301" i="9"/>
  <c r="BE301" i="9" s="1"/>
  <c r="BK300" i="9"/>
  <c r="BI300" i="9"/>
  <c r="BH300" i="9"/>
  <c r="BG300" i="9"/>
  <c r="BF300" i="9"/>
  <c r="T300" i="9"/>
  <c r="R300" i="9"/>
  <c r="P300" i="9"/>
  <c r="J300" i="9"/>
  <c r="BE300" i="9" s="1"/>
  <c r="BK299" i="9"/>
  <c r="BK297" i="9" s="1"/>
  <c r="J297" i="9" s="1"/>
  <c r="J108" i="9" s="1"/>
  <c r="BI299" i="9"/>
  <c r="BH299" i="9"/>
  <c r="BG299" i="9"/>
  <c r="BF299" i="9"/>
  <c r="T299" i="9"/>
  <c r="R299" i="9"/>
  <c r="P299" i="9"/>
  <c r="J299" i="9"/>
  <c r="BE299" i="9" s="1"/>
  <c r="BK298" i="9"/>
  <c r="BI298" i="9"/>
  <c r="BH298" i="9"/>
  <c r="BG298" i="9"/>
  <c r="BF298" i="9"/>
  <c r="T298" i="9"/>
  <c r="T297" i="9" s="1"/>
  <c r="R298" i="9"/>
  <c r="P298" i="9"/>
  <c r="J298" i="9"/>
  <c r="BE298" i="9" s="1"/>
  <c r="BK296" i="9"/>
  <c r="BI296" i="9"/>
  <c r="BH296" i="9"/>
  <c r="BG296" i="9"/>
  <c r="BF296" i="9"/>
  <c r="T296" i="9"/>
  <c r="R296" i="9"/>
  <c r="P296" i="9"/>
  <c r="J296" i="9"/>
  <c r="BE296" i="9" s="1"/>
  <c r="BK295" i="9"/>
  <c r="BI295" i="9"/>
  <c r="BH295" i="9"/>
  <c r="BG295" i="9"/>
  <c r="BF295" i="9"/>
  <c r="T295" i="9"/>
  <c r="R295" i="9"/>
  <c r="P295" i="9"/>
  <c r="J295" i="9"/>
  <c r="BE295" i="9" s="1"/>
  <c r="BK294" i="9"/>
  <c r="BK293" i="9" s="1"/>
  <c r="BI294" i="9"/>
  <c r="BH294" i="9"/>
  <c r="BG294" i="9"/>
  <c r="BF294" i="9"/>
  <c r="T294" i="9"/>
  <c r="R294" i="9"/>
  <c r="P294" i="9"/>
  <c r="J294" i="9"/>
  <c r="BE294" i="9" s="1"/>
  <c r="BK292" i="9"/>
  <c r="BI292" i="9"/>
  <c r="BH292" i="9"/>
  <c r="BG292" i="9"/>
  <c r="BF292" i="9"/>
  <c r="T292" i="9"/>
  <c r="R292" i="9"/>
  <c r="P292" i="9"/>
  <c r="J292" i="9"/>
  <c r="BE292" i="9" s="1"/>
  <c r="BK291" i="9"/>
  <c r="BI291" i="9"/>
  <c r="BH291" i="9"/>
  <c r="BG291" i="9"/>
  <c r="BF291" i="9"/>
  <c r="BE291" i="9"/>
  <c r="T291" i="9"/>
  <c r="R291" i="9"/>
  <c r="P291" i="9"/>
  <c r="J291" i="9"/>
  <c r="BK290" i="9"/>
  <c r="BI290" i="9"/>
  <c r="BH290" i="9"/>
  <c r="BG290" i="9"/>
  <c r="BF290" i="9"/>
  <c r="T290" i="9"/>
  <c r="R290" i="9"/>
  <c r="P290" i="9"/>
  <c r="J290" i="9"/>
  <c r="BE290" i="9" s="1"/>
  <c r="BK289" i="9"/>
  <c r="BI289" i="9"/>
  <c r="BH289" i="9"/>
  <c r="BG289" i="9"/>
  <c r="BF289" i="9"/>
  <c r="T289" i="9"/>
  <c r="R289" i="9"/>
  <c r="P289" i="9"/>
  <c r="J289" i="9"/>
  <c r="BE289" i="9" s="1"/>
  <c r="BK288" i="9"/>
  <c r="BI288" i="9"/>
  <c r="BH288" i="9"/>
  <c r="BG288" i="9"/>
  <c r="BF288" i="9"/>
  <c r="T288" i="9"/>
  <c r="R288" i="9"/>
  <c r="P288" i="9"/>
  <c r="J288" i="9"/>
  <c r="BE288" i="9" s="1"/>
  <c r="BK287" i="9"/>
  <c r="BI287" i="9"/>
  <c r="BH287" i="9"/>
  <c r="BG287" i="9"/>
  <c r="BF287" i="9"/>
  <c r="T287" i="9"/>
  <c r="R287" i="9"/>
  <c r="P287" i="9"/>
  <c r="J287" i="9"/>
  <c r="BE287" i="9" s="1"/>
  <c r="BK286" i="9"/>
  <c r="BI286" i="9"/>
  <c r="BH286" i="9"/>
  <c r="BG286" i="9"/>
  <c r="BF286" i="9"/>
  <c r="T286" i="9"/>
  <c r="R286" i="9"/>
  <c r="P286" i="9"/>
  <c r="J286" i="9"/>
  <c r="BE286" i="9" s="1"/>
  <c r="BK285" i="9"/>
  <c r="BI285" i="9"/>
  <c r="BH285" i="9"/>
  <c r="BG285" i="9"/>
  <c r="BF285" i="9"/>
  <c r="T285" i="9"/>
  <c r="R285" i="9"/>
  <c r="P285" i="9"/>
  <c r="J285" i="9"/>
  <c r="BE285" i="9" s="1"/>
  <c r="BK284" i="9"/>
  <c r="BI284" i="9"/>
  <c r="BH284" i="9"/>
  <c r="BG284" i="9"/>
  <c r="BF284" i="9"/>
  <c r="T284" i="9"/>
  <c r="R284" i="9"/>
  <c r="P284" i="9"/>
  <c r="J284" i="9"/>
  <c r="BE284" i="9" s="1"/>
  <c r="BK283" i="9"/>
  <c r="BI283" i="9"/>
  <c r="BH283" i="9"/>
  <c r="BG283" i="9"/>
  <c r="BF283" i="9"/>
  <c r="T283" i="9"/>
  <c r="R283" i="9"/>
  <c r="P283" i="9"/>
  <c r="J283" i="9"/>
  <c r="BE283" i="9" s="1"/>
  <c r="BK282" i="9"/>
  <c r="BI282" i="9"/>
  <c r="BH282" i="9"/>
  <c r="BG282" i="9"/>
  <c r="BF282" i="9"/>
  <c r="T282" i="9"/>
  <c r="R282" i="9"/>
  <c r="P282" i="9"/>
  <c r="J282" i="9"/>
  <c r="BE282" i="9" s="1"/>
  <c r="BK281" i="9"/>
  <c r="BI281" i="9"/>
  <c r="BH281" i="9"/>
  <c r="BG281" i="9"/>
  <c r="BF281" i="9"/>
  <c r="T281" i="9"/>
  <c r="R281" i="9"/>
  <c r="P281" i="9"/>
  <c r="J281" i="9"/>
  <c r="BE281" i="9" s="1"/>
  <c r="BK280" i="9"/>
  <c r="BI280" i="9"/>
  <c r="BH280" i="9"/>
  <c r="BG280" i="9"/>
  <c r="BF280" i="9"/>
  <c r="T280" i="9"/>
  <c r="R280" i="9"/>
  <c r="P280" i="9"/>
  <c r="J280" i="9"/>
  <c r="BE280" i="9" s="1"/>
  <c r="BK279" i="9"/>
  <c r="BI279" i="9"/>
  <c r="BH279" i="9"/>
  <c r="BG279" i="9"/>
  <c r="BF279" i="9"/>
  <c r="BE279" i="9"/>
  <c r="T279" i="9"/>
  <c r="R279" i="9"/>
  <c r="P279" i="9"/>
  <c r="J279" i="9"/>
  <c r="BK278" i="9"/>
  <c r="BI278" i="9"/>
  <c r="BH278" i="9"/>
  <c r="BG278" i="9"/>
  <c r="BF278" i="9"/>
  <c r="T278" i="9"/>
  <c r="R278" i="9"/>
  <c r="P278" i="9"/>
  <c r="J278" i="9"/>
  <c r="BE278" i="9" s="1"/>
  <c r="BK277" i="9"/>
  <c r="BI277" i="9"/>
  <c r="BH277" i="9"/>
  <c r="BG277" i="9"/>
  <c r="BF277" i="9"/>
  <c r="T277" i="9"/>
  <c r="R277" i="9"/>
  <c r="P277" i="9"/>
  <c r="J277" i="9"/>
  <c r="BE277" i="9" s="1"/>
  <c r="BK276" i="9"/>
  <c r="BI276" i="9"/>
  <c r="BH276" i="9"/>
  <c r="BG276" i="9"/>
  <c r="BF276" i="9"/>
  <c r="T276" i="9"/>
  <c r="R276" i="9"/>
  <c r="P276" i="9"/>
  <c r="J276" i="9"/>
  <c r="BE276" i="9" s="1"/>
  <c r="BK275" i="9"/>
  <c r="BI275" i="9"/>
  <c r="BH275" i="9"/>
  <c r="BG275" i="9"/>
  <c r="BF275" i="9"/>
  <c r="T275" i="9"/>
  <c r="R275" i="9"/>
  <c r="P275" i="9"/>
  <c r="J275" i="9"/>
  <c r="BE275" i="9" s="1"/>
  <c r="BK273" i="9"/>
  <c r="BI273" i="9"/>
  <c r="BH273" i="9"/>
  <c r="BG273" i="9"/>
  <c r="BF273" i="9"/>
  <c r="T273" i="9"/>
  <c r="R273" i="9"/>
  <c r="P273" i="9"/>
  <c r="J273" i="9"/>
  <c r="BE273" i="9" s="1"/>
  <c r="BK272" i="9"/>
  <c r="BI272" i="9"/>
  <c r="BH272" i="9"/>
  <c r="BG272" i="9"/>
  <c r="BF272" i="9"/>
  <c r="T272" i="9"/>
  <c r="R272" i="9"/>
  <c r="P272" i="9"/>
  <c r="J272" i="9"/>
  <c r="BE272" i="9" s="1"/>
  <c r="BK271" i="9"/>
  <c r="BI271" i="9"/>
  <c r="BH271" i="9"/>
  <c r="BG271" i="9"/>
  <c r="BF271" i="9"/>
  <c r="T271" i="9"/>
  <c r="R271" i="9"/>
  <c r="P271" i="9"/>
  <c r="J271" i="9"/>
  <c r="BE271" i="9" s="1"/>
  <c r="BK269" i="9"/>
  <c r="BI269" i="9"/>
  <c r="BH269" i="9"/>
  <c r="BG269" i="9"/>
  <c r="BF269" i="9"/>
  <c r="T269" i="9"/>
  <c r="R269" i="9"/>
  <c r="P269" i="9"/>
  <c r="J269" i="9"/>
  <c r="BE269" i="9" s="1"/>
  <c r="BK268" i="9"/>
  <c r="BI268" i="9"/>
  <c r="BH268" i="9"/>
  <c r="BG268" i="9"/>
  <c r="BF268" i="9"/>
  <c r="T268" i="9"/>
  <c r="R268" i="9"/>
  <c r="P268" i="9"/>
  <c r="J268" i="9"/>
  <c r="BE268" i="9" s="1"/>
  <c r="BK267" i="9"/>
  <c r="BI267" i="9"/>
  <c r="BH267" i="9"/>
  <c r="BG267" i="9"/>
  <c r="BF267" i="9"/>
  <c r="T267" i="9"/>
  <c r="R267" i="9"/>
  <c r="P267" i="9"/>
  <c r="J267" i="9"/>
  <c r="BE267" i="9" s="1"/>
  <c r="BK266" i="9"/>
  <c r="BI266" i="9"/>
  <c r="BH266" i="9"/>
  <c r="BG266" i="9"/>
  <c r="BF266" i="9"/>
  <c r="T266" i="9"/>
  <c r="R266" i="9"/>
  <c r="P266" i="9"/>
  <c r="J266" i="9"/>
  <c r="BE266" i="9" s="1"/>
  <c r="BK265" i="9"/>
  <c r="BI265" i="9"/>
  <c r="BH265" i="9"/>
  <c r="BG265" i="9"/>
  <c r="BF265" i="9"/>
  <c r="T265" i="9"/>
  <c r="R265" i="9"/>
  <c r="P265" i="9"/>
  <c r="J265" i="9"/>
  <c r="BE265" i="9" s="1"/>
  <c r="BK264" i="9"/>
  <c r="BI264" i="9"/>
  <c r="BH264" i="9"/>
  <c r="BG264" i="9"/>
  <c r="BF264" i="9"/>
  <c r="T264" i="9"/>
  <c r="R264" i="9"/>
  <c r="P264" i="9"/>
  <c r="J264" i="9"/>
  <c r="BE264" i="9" s="1"/>
  <c r="BK263" i="9"/>
  <c r="BI263" i="9"/>
  <c r="BH263" i="9"/>
  <c r="BG263" i="9"/>
  <c r="BF263" i="9"/>
  <c r="T263" i="9"/>
  <c r="R263" i="9"/>
  <c r="P263" i="9"/>
  <c r="J263" i="9"/>
  <c r="BE263" i="9" s="1"/>
  <c r="BK262" i="9"/>
  <c r="BI262" i="9"/>
  <c r="BH262" i="9"/>
  <c r="BG262" i="9"/>
  <c r="BF262" i="9"/>
  <c r="BE262" i="9"/>
  <c r="T262" i="9"/>
  <c r="R262" i="9"/>
  <c r="P262" i="9"/>
  <c r="J262" i="9"/>
  <c r="BK261" i="9"/>
  <c r="BI261" i="9"/>
  <c r="BH261" i="9"/>
  <c r="BG261" i="9"/>
  <c r="BF261" i="9"/>
  <c r="T261" i="9"/>
  <c r="R261" i="9"/>
  <c r="P261" i="9"/>
  <c r="J261" i="9"/>
  <c r="BE261" i="9" s="1"/>
  <c r="BK260" i="9"/>
  <c r="BI260" i="9"/>
  <c r="BH260" i="9"/>
  <c r="BG260" i="9"/>
  <c r="BF260" i="9"/>
  <c r="T260" i="9"/>
  <c r="R260" i="9"/>
  <c r="P260" i="9"/>
  <c r="J260" i="9"/>
  <c r="BE260" i="9" s="1"/>
  <c r="BK259" i="9"/>
  <c r="BI259" i="9"/>
  <c r="BH259" i="9"/>
  <c r="BG259" i="9"/>
  <c r="BF259" i="9"/>
  <c r="T259" i="9"/>
  <c r="R259" i="9"/>
  <c r="P259" i="9"/>
  <c r="J259" i="9"/>
  <c r="BE259" i="9" s="1"/>
  <c r="BK258" i="9"/>
  <c r="BI258" i="9"/>
  <c r="BH258" i="9"/>
  <c r="BG258" i="9"/>
  <c r="BF258" i="9"/>
  <c r="T258" i="9"/>
  <c r="R258" i="9"/>
  <c r="P258" i="9"/>
  <c r="J258" i="9"/>
  <c r="BE258" i="9" s="1"/>
  <c r="BK257" i="9"/>
  <c r="BI257" i="9"/>
  <c r="BH257" i="9"/>
  <c r="BG257" i="9"/>
  <c r="BF257" i="9"/>
  <c r="T257" i="9"/>
  <c r="R257" i="9"/>
  <c r="P257" i="9"/>
  <c r="J257" i="9"/>
  <c r="BE257" i="9" s="1"/>
  <c r="BK256" i="9"/>
  <c r="BI256" i="9"/>
  <c r="BH256" i="9"/>
  <c r="BG256" i="9"/>
  <c r="BF256" i="9"/>
  <c r="T256" i="9"/>
  <c r="R256" i="9"/>
  <c r="P256" i="9"/>
  <c r="J256" i="9"/>
  <c r="BE256" i="9" s="1"/>
  <c r="BK255" i="9"/>
  <c r="BI255" i="9"/>
  <c r="BH255" i="9"/>
  <c r="BG255" i="9"/>
  <c r="BF255" i="9"/>
  <c r="T255" i="9"/>
  <c r="R255" i="9"/>
  <c r="P255" i="9"/>
  <c r="J255" i="9"/>
  <c r="BE255" i="9" s="1"/>
  <c r="BK254" i="9"/>
  <c r="BI254" i="9"/>
  <c r="BH254" i="9"/>
  <c r="BG254" i="9"/>
  <c r="BF254" i="9"/>
  <c r="T254" i="9"/>
  <c r="R254" i="9"/>
  <c r="P254" i="9"/>
  <c r="J254" i="9"/>
  <c r="BE254" i="9" s="1"/>
  <c r="BK253" i="9"/>
  <c r="BI253" i="9"/>
  <c r="BH253" i="9"/>
  <c r="BG253" i="9"/>
  <c r="BF253" i="9"/>
  <c r="BE253" i="9"/>
  <c r="T253" i="9"/>
  <c r="R253" i="9"/>
  <c r="P253" i="9"/>
  <c r="J253" i="9"/>
  <c r="BK252" i="9"/>
  <c r="BI252" i="9"/>
  <c r="BH252" i="9"/>
  <c r="BG252" i="9"/>
  <c r="BF252" i="9"/>
  <c r="T252" i="9"/>
  <c r="R252" i="9"/>
  <c r="P252" i="9"/>
  <c r="J252" i="9"/>
  <c r="BE252" i="9" s="1"/>
  <c r="BK251" i="9"/>
  <c r="BI251" i="9"/>
  <c r="BH251" i="9"/>
  <c r="BG251" i="9"/>
  <c r="BF251" i="9"/>
  <c r="T251" i="9"/>
  <c r="R251" i="9"/>
  <c r="P251" i="9"/>
  <c r="J251" i="9"/>
  <c r="BE251" i="9" s="1"/>
  <c r="BK250" i="9"/>
  <c r="BI250" i="9"/>
  <c r="BH250" i="9"/>
  <c r="BG250" i="9"/>
  <c r="BF250" i="9"/>
  <c r="T250" i="9"/>
  <c r="R250" i="9"/>
  <c r="P250" i="9"/>
  <c r="J250" i="9"/>
  <c r="BE250" i="9" s="1"/>
  <c r="BK249" i="9"/>
  <c r="BI249" i="9"/>
  <c r="BH249" i="9"/>
  <c r="BG249" i="9"/>
  <c r="BF249" i="9"/>
  <c r="T249" i="9"/>
  <c r="R249" i="9"/>
  <c r="P249" i="9"/>
  <c r="J249" i="9"/>
  <c r="BE249" i="9" s="1"/>
  <c r="BK248" i="9"/>
  <c r="BI248" i="9"/>
  <c r="BH248" i="9"/>
  <c r="BG248" i="9"/>
  <c r="BF248" i="9"/>
  <c r="T248" i="9"/>
  <c r="R248" i="9"/>
  <c r="P248" i="9"/>
  <c r="J248" i="9"/>
  <c r="BE248" i="9" s="1"/>
  <c r="BK247" i="9"/>
  <c r="BI247" i="9"/>
  <c r="BH247" i="9"/>
  <c r="BG247" i="9"/>
  <c r="BF247" i="9"/>
  <c r="T247" i="9"/>
  <c r="R247" i="9"/>
  <c r="P247" i="9"/>
  <c r="J247" i="9"/>
  <c r="BE247" i="9" s="1"/>
  <c r="BK246" i="9"/>
  <c r="BI246" i="9"/>
  <c r="BH246" i="9"/>
  <c r="BG246" i="9"/>
  <c r="BF246" i="9"/>
  <c r="BE246" i="9"/>
  <c r="T246" i="9"/>
  <c r="R246" i="9"/>
  <c r="P246" i="9"/>
  <c r="J246" i="9"/>
  <c r="BK245" i="9"/>
  <c r="BI245" i="9"/>
  <c r="BH245" i="9"/>
  <c r="BG245" i="9"/>
  <c r="BF245" i="9"/>
  <c r="T245" i="9"/>
  <c r="R245" i="9"/>
  <c r="P245" i="9"/>
  <c r="J245" i="9"/>
  <c r="BE245" i="9" s="1"/>
  <c r="BK244" i="9"/>
  <c r="BI244" i="9"/>
  <c r="BH244" i="9"/>
  <c r="BG244" i="9"/>
  <c r="BF244" i="9"/>
  <c r="T244" i="9"/>
  <c r="R244" i="9"/>
  <c r="P244" i="9"/>
  <c r="J244" i="9"/>
  <c r="BE244" i="9" s="1"/>
  <c r="BK243" i="9"/>
  <c r="BI243" i="9"/>
  <c r="BH243" i="9"/>
  <c r="BG243" i="9"/>
  <c r="BF243" i="9"/>
  <c r="T243" i="9"/>
  <c r="R243" i="9"/>
  <c r="P243" i="9"/>
  <c r="J243" i="9"/>
  <c r="BE243" i="9" s="1"/>
  <c r="BK242" i="9"/>
  <c r="BI242" i="9"/>
  <c r="BH242" i="9"/>
  <c r="BG242" i="9"/>
  <c r="BF242" i="9"/>
  <c r="BE242" i="9"/>
  <c r="T242" i="9"/>
  <c r="R242" i="9"/>
  <c r="P242" i="9"/>
  <c r="J242" i="9"/>
  <c r="BK241" i="9"/>
  <c r="BI241" i="9"/>
  <c r="BH241" i="9"/>
  <c r="BG241" i="9"/>
  <c r="BF241" i="9"/>
  <c r="BE241" i="9"/>
  <c r="T241" i="9"/>
  <c r="R241" i="9"/>
  <c r="P241" i="9"/>
  <c r="J241" i="9"/>
  <c r="BK240" i="9"/>
  <c r="BI240" i="9"/>
  <c r="BH240" i="9"/>
  <c r="BG240" i="9"/>
  <c r="BF240" i="9"/>
  <c r="T240" i="9"/>
  <c r="R240" i="9"/>
  <c r="P240" i="9"/>
  <c r="J240" i="9"/>
  <c r="BE240" i="9" s="1"/>
  <c r="BK239" i="9"/>
  <c r="BI239" i="9"/>
  <c r="BH239" i="9"/>
  <c r="BG239" i="9"/>
  <c r="BF239" i="9"/>
  <c r="T239" i="9"/>
  <c r="R239" i="9"/>
  <c r="P239" i="9"/>
  <c r="J239" i="9"/>
  <c r="BE239" i="9" s="1"/>
  <c r="BK238" i="9"/>
  <c r="BI238" i="9"/>
  <c r="BH238" i="9"/>
  <c r="BG238" i="9"/>
  <c r="BF238" i="9"/>
  <c r="T238" i="9"/>
  <c r="R238" i="9"/>
  <c r="P238" i="9"/>
  <c r="J238" i="9"/>
  <c r="BE238" i="9" s="1"/>
  <c r="BK237" i="9"/>
  <c r="BI237" i="9"/>
  <c r="BH237" i="9"/>
  <c r="BG237" i="9"/>
  <c r="BF237" i="9"/>
  <c r="BE237" i="9"/>
  <c r="T237" i="9"/>
  <c r="R237" i="9"/>
  <c r="P237" i="9"/>
  <c r="J237" i="9"/>
  <c r="BK236" i="9"/>
  <c r="BI236" i="9"/>
  <c r="BH236" i="9"/>
  <c r="BG236" i="9"/>
  <c r="BF236" i="9"/>
  <c r="T236" i="9"/>
  <c r="R236" i="9"/>
  <c r="P236" i="9"/>
  <c r="J236" i="9"/>
  <c r="BE236" i="9" s="1"/>
  <c r="BK235" i="9"/>
  <c r="BI235" i="9"/>
  <c r="BH235" i="9"/>
  <c r="BG235" i="9"/>
  <c r="BF235" i="9"/>
  <c r="T235" i="9"/>
  <c r="R235" i="9"/>
  <c r="P235" i="9"/>
  <c r="J235" i="9"/>
  <c r="BE235" i="9" s="1"/>
  <c r="BK234" i="9"/>
  <c r="BI234" i="9"/>
  <c r="BH234" i="9"/>
  <c r="BG234" i="9"/>
  <c r="BF234" i="9"/>
  <c r="T234" i="9"/>
  <c r="R234" i="9"/>
  <c r="P234" i="9"/>
  <c r="J234" i="9"/>
  <c r="BE234" i="9" s="1"/>
  <c r="BK233" i="9"/>
  <c r="BI233" i="9"/>
  <c r="BH233" i="9"/>
  <c r="BG233" i="9"/>
  <c r="BF233" i="9"/>
  <c r="T233" i="9"/>
  <c r="R233" i="9"/>
  <c r="P233" i="9"/>
  <c r="J233" i="9"/>
  <c r="BE233" i="9" s="1"/>
  <c r="BK232" i="9"/>
  <c r="BI232" i="9"/>
  <c r="BH232" i="9"/>
  <c r="BG232" i="9"/>
  <c r="BF232" i="9"/>
  <c r="T232" i="9"/>
  <c r="R232" i="9"/>
  <c r="P232" i="9"/>
  <c r="J232" i="9"/>
  <c r="BE232" i="9" s="1"/>
  <c r="BK231" i="9"/>
  <c r="BI231" i="9"/>
  <c r="BH231" i="9"/>
  <c r="BG231" i="9"/>
  <c r="BF231" i="9"/>
  <c r="T231" i="9"/>
  <c r="R231" i="9"/>
  <c r="P231" i="9"/>
  <c r="J231" i="9"/>
  <c r="BE231" i="9" s="1"/>
  <c r="BK230" i="9"/>
  <c r="BI230" i="9"/>
  <c r="BH230" i="9"/>
  <c r="BG230" i="9"/>
  <c r="BF230" i="9"/>
  <c r="T230" i="9"/>
  <c r="R230" i="9"/>
  <c r="P230" i="9"/>
  <c r="J230" i="9"/>
  <c r="BE230" i="9" s="1"/>
  <c r="BK229" i="9"/>
  <c r="BI229" i="9"/>
  <c r="BH229" i="9"/>
  <c r="BG229" i="9"/>
  <c r="BF229" i="9"/>
  <c r="T229" i="9"/>
  <c r="R229" i="9"/>
  <c r="P229" i="9"/>
  <c r="J229" i="9"/>
  <c r="BE229" i="9" s="1"/>
  <c r="BK228" i="9"/>
  <c r="BI228" i="9"/>
  <c r="BH228" i="9"/>
  <c r="BG228" i="9"/>
  <c r="BF228" i="9"/>
  <c r="T228" i="9"/>
  <c r="R228" i="9"/>
  <c r="P228" i="9"/>
  <c r="J228" i="9"/>
  <c r="BE228" i="9" s="1"/>
  <c r="BK227" i="9"/>
  <c r="BI227" i="9"/>
  <c r="BH227" i="9"/>
  <c r="BG227" i="9"/>
  <c r="BF227" i="9"/>
  <c r="T227" i="9"/>
  <c r="R227" i="9"/>
  <c r="P227" i="9"/>
  <c r="J227" i="9"/>
  <c r="BE227" i="9" s="1"/>
  <c r="BK226" i="9"/>
  <c r="BI226" i="9"/>
  <c r="BH226" i="9"/>
  <c r="BG226" i="9"/>
  <c r="BF226" i="9"/>
  <c r="T226" i="9"/>
  <c r="R226" i="9"/>
  <c r="P226" i="9"/>
  <c r="J226" i="9"/>
  <c r="BE226" i="9" s="1"/>
  <c r="BK225" i="9"/>
  <c r="BI225" i="9"/>
  <c r="BH225" i="9"/>
  <c r="BG225" i="9"/>
  <c r="BF225" i="9"/>
  <c r="T225" i="9"/>
  <c r="R225" i="9"/>
  <c r="P225" i="9"/>
  <c r="J225" i="9"/>
  <c r="BE225" i="9" s="1"/>
  <c r="BK224" i="9"/>
  <c r="BI224" i="9"/>
  <c r="BH224" i="9"/>
  <c r="BG224" i="9"/>
  <c r="BF224" i="9"/>
  <c r="T224" i="9"/>
  <c r="R224" i="9"/>
  <c r="P224" i="9"/>
  <c r="J224" i="9"/>
  <c r="BE224" i="9" s="1"/>
  <c r="BK223" i="9"/>
  <c r="BI223" i="9"/>
  <c r="BH223" i="9"/>
  <c r="BG223" i="9"/>
  <c r="BF223" i="9"/>
  <c r="T223" i="9"/>
  <c r="R223" i="9"/>
  <c r="P223" i="9"/>
  <c r="J223" i="9"/>
  <c r="BE223" i="9" s="1"/>
  <c r="BK222" i="9"/>
  <c r="BI222" i="9"/>
  <c r="BH222" i="9"/>
  <c r="BG222" i="9"/>
  <c r="BF222" i="9"/>
  <c r="T222" i="9"/>
  <c r="R222" i="9"/>
  <c r="P222" i="9"/>
  <c r="J222" i="9"/>
  <c r="BE222" i="9" s="1"/>
  <c r="BK221" i="9"/>
  <c r="BI221" i="9"/>
  <c r="BH221" i="9"/>
  <c r="BG221" i="9"/>
  <c r="BF221" i="9"/>
  <c r="T221" i="9"/>
  <c r="R221" i="9"/>
  <c r="P221" i="9"/>
  <c r="J221" i="9"/>
  <c r="BE221" i="9" s="1"/>
  <c r="BK220" i="9"/>
  <c r="BI220" i="9"/>
  <c r="BH220" i="9"/>
  <c r="BG220" i="9"/>
  <c r="BF220" i="9"/>
  <c r="T220" i="9"/>
  <c r="R220" i="9"/>
  <c r="P220" i="9"/>
  <c r="J220" i="9"/>
  <c r="BE220" i="9" s="1"/>
  <c r="BK219" i="9"/>
  <c r="BI219" i="9"/>
  <c r="BH219" i="9"/>
  <c r="BG219" i="9"/>
  <c r="BF219" i="9"/>
  <c r="T219" i="9"/>
  <c r="R219" i="9"/>
  <c r="P219" i="9"/>
  <c r="J219" i="9"/>
  <c r="BE219" i="9" s="1"/>
  <c r="BK218" i="9"/>
  <c r="BI218" i="9"/>
  <c r="BH218" i="9"/>
  <c r="BG218" i="9"/>
  <c r="BF218" i="9"/>
  <c r="T218" i="9"/>
  <c r="R218" i="9"/>
  <c r="P218" i="9"/>
  <c r="J218" i="9"/>
  <c r="BE218" i="9" s="1"/>
  <c r="BK217" i="9"/>
  <c r="BI217" i="9"/>
  <c r="BH217" i="9"/>
  <c r="BG217" i="9"/>
  <c r="BF217" i="9"/>
  <c r="T217" i="9"/>
  <c r="R217" i="9"/>
  <c r="P217" i="9"/>
  <c r="J217" i="9"/>
  <c r="BE217" i="9" s="1"/>
  <c r="BK216" i="9"/>
  <c r="BI216" i="9"/>
  <c r="BH216" i="9"/>
  <c r="BG216" i="9"/>
  <c r="BF216" i="9"/>
  <c r="T216" i="9"/>
  <c r="R216" i="9"/>
  <c r="P216" i="9"/>
  <c r="J216" i="9"/>
  <c r="BE216" i="9" s="1"/>
  <c r="BK215" i="9"/>
  <c r="BI215" i="9"/>
  <c r="BH215" i="9"/>
  <c r="BG215" i="9"/>
  <c r="BF215" i="9"/>
  <c r="BE215" i="9"/>
  <c r="T215" i="9"/>
  <c r="R215" i="9"/>
  <c r="P215" i="9"/>
  <c r="J215" i="9"/>
  <c r="BK214" i="9"/>
  <c r="BI214" i="9"/>
  <c r="BH214" i="9"/>
  <c r="BG214" i="9"/>
  <c r="BF214" i="9"/>
  <c r="T214" i="9"/>
  <c r="R214" i="9"/>
  <c r="P214" i="9"/>
  <c r="J214" i="9"/>
  <c r="BE214" i="9" s="1"/>
  <c r="BK213" i="9"/>
  <c r="BI213" i="9"/>
  <c r="BH213" i="9"/>
  <c r="BG213" i="9"/>
  <c r="BF213" i="9"/>
  <c r="T213" i="9"/>
  <c r="R213" i="9"/>
  <c r="P213" i="9"/>
  <c r="J213" i="9"/>
  <c r="BE213" i="9" s="1"/>
  <c r="BK212" i="9"/>
  <c r="BI212" i="9"/>
  <c r="BH212" i="9"/>
  <c r="BG212" i="9"/>
  <c r="BF212" i="9"/>
  <c r="T212" i="9"/>
  <c r="R212" i="9"/>
  <c r="P212" i="9"/>
  <c r="J212" i="9"/>
  <c r="BE212" i="9" s="1"/>
  <c r="BK211" i="9"/>
  <c r="BI211" i="9"/>
  <c r="BH211" i="9"/>
  <c r="BG211" i="9"/>
  <c r="BF211" i="9"/>
  <c r="T211" i="9"/>
  <c r="R211" i="9"/>
  <c r="P211" i="9"/>
  <c r="J211" i="9"/>
  <c r="BE211" i="9" s="1"/>
  <c r="BK210" i="9"/>
  <c r="BI210" i="9"/>
  <c r="BH210" i="9"/>
  <c r="BG210" i="9"/>
  <c r="BF210" i="9"/>
  <c r="T210" i="9"/>
  <c r="R210" i="9"/>
  <c r="P210" i="9"/>
  <c r="J210" i="9"/>
  <c r="BE210" i="9" s="1"/>
  <c r="BK209" i="9"/>
  <c r="BI209" i="9"/>
  <c r="BH209" i="9"/>
  <c r="BG209" i="9"/>
  <c r="BF209" i="9"/>
  <c r="T209" i="9"/>
  <c r="R209" i="9"/>
  <c r="P209" i="9"/>
  <c r="J209" i="9"/>
  <c r="BE209" i="9" s="1"/>
  <c r="BK208" i="9"/>
  <c r="BI208" i="9"/>
  <c r="BH208" i="9"/>
  <c r="BG208" i="9"/>
  <c r="BF208" i="9"/>
  <c r="T208" i="9"/>
  <c r="R208" i="9"/>
  <c r="P208" i="9"/>
  <c r="J208" i="9"/>
  <c r="BE208" i="9" s="1"/>
  <c r="BK207" i="9"/>
  <c r="BI207" i="9"/>
  <c r="BH207" i="9"/>
  <c r="BG207" i="9"/>
  <c r="BF207" i="9"/>
  <c r="T207" i="9"/>
  <c r="R207" i="9"/>
  <c r="P207" i="9"/>
  <c r="J207" i="9"/>
  <c r="BE207" i="9" s="1"/>
  <c r="BK206" i="9"/>
  <c r="BI206" i="9"/>
  <c r="BH206" i="9"/>
  <c r="BG206" i="9"/>
  <c r="BF206" i="9"/>
  <c r="T206" i="9"/>
  <c r="R206" i="9"/>
  <c r="P206" i="9"/>
  <c r="J206" i="9"/>
  <c r="BE206" i="9" s="1"/>
  <c r="BK205" i="9"/>
  <c r="BI205" i="9"/>
  <c r="BH205" i="9"/>
  <c r="BG205" i="9"/>
  <c r="BF205" i="9"/>
  <c r="T205" i="9"/>
  <c r="R205" i="9"/>
  <c r="P205" i="9"/>
  <c r="J205" i="9"/>
  <c r="BE205" i="9" s="1"/>
  <c r="BK204" i="9"/>
  <c r="BI204" i="9"/>
  <c r="BH204" i="9"/>
  <c r="BG204" i="9"/>
  <c r="BF204" i="9"/>
  <c r="T204" i="9"/>
  <c r="R204" i="9"/>
  <c r="P204" i="9"/>
  <c r="J204" i="9"/>
  <c r="BE204" i="9" s="1"/>
  <c r="BK203" i="9"/>
  <c r="BI203" i="9"/>
  <c r="BH203" i="9"/>
  <c r="BG203" i="9"/>
  <c r="BF203" i="9"/>
  <c r="BE203" i="9"/>
  <c r="T203" i="9"/>
  <c r="R203" i="9"/>
  <c r="P203" i="9"/>
  <c r="J203" i="9"/>
  <c r="BK202" i="9"/>
  <c r="BI202" i="9"/>
  <c r="BH202" i="9"/>
  <c r="BG202" i="9"/>
  <c r="BF202" i="9"/>
  <c r="T202" i="9"/>
  <c r="R202" i="9"/>
  <c r="P202" i="9"/>
  <c r="J202" i="9"/>
  <c r="BE202" i="9" s="1"/>
  <c r="BK201" i="9"/>
  <c r="BI201" i="9"/>
  <c r="BH201" i="9"/>
  <c r="BG201" i="9"/>
  <c r="BF201" i="9"/>
  <c r="T201" i="9"/>
  <c r="R201" i="9"/>
  <c r="P201" i="9"/>
  <c r="J201" i="9"/>
  <c r="BE201" i="9" s="1"/>
  <c r="BK200" i="9"/>
  <c r="BI200" i="9"/>
  <c r="BH200" i="9"/>
  <c r="BG200" i="9"/>
  <c r="BF200" i="9"/>
  <c r="T200" i="9"/>
  <c r="R200" i="9"/>
  <c r="P200" i="9"/>
  <c r="J200" i="9"/>
  <c r="BE200" i="9" s="1"/>
  <c r="BK199" i="9"/>
  <c r="BI199" i="9"/>
  <c r="BH199" i="9"/>
  <c r="BG199" i="9"/>
  <c r="BF199" i="9"/>
  <c r="T199" i="9"/>
  <c r="R199" i="9"/>
  <c r="P199" i="9"/>
  <c r="J199" i="9"/>
  <c r="BE199" i="9" s="1"/>
  <c r="BK196" i="9"/>
  <c r="BI196" i="9"/>
  <c r="BH196" i="9"/>
  <c r="BG196" i="9"/>
  <c r="BF196" i="9"/>
  <c r="T196" i="9"/>
  <c r="T194" i="9" s="1"/>
  <c r="R196" i="9"/>
  <c r="P196" i="9"/>
  <c r="J196" i="9"/>
  <c r="BE196" i="9" s="1"/>
  <c r="BK195" i="9"/>
  <c r="BI195" i="9"/>
  <c r="BH195" i="9"/>
  <c r="BG195" i="9"/>
  <c r="BF195" i="9"/>
  <c r="T195" i="9"/>
  <c r="R195" i="9"/>
  <c r="R194" i="9" s="1"/>
  <c r="P195" i="9"/>
  <c r="J195" i="9"/>
  <c r="BE195" i="9" s="1"/>
  <c r="BK193" i="9"/>
  <c r="BI193" i="9"/>
  <c r="BH193" i="9"/>
  <c r="BG193" i="9"/>
  <c r="BF193" i="9"/>
  <c r="BE193" i="9"/>
  <c r="T193" i="9"/>
  <c r="R193" i="9"/>
  <c r="P193" i="9"/>
  <c r="J193" i="9"/>
  <c r="BK192" i="9"/>
  <c r="BI192" i="9"/>
  <c r="BH192" i="9"/>
  <c r="BG192" i="9"/>
  <c r="BF192" i="9"/>
  <c r="T192" i="9"/>
  <c r="R192" i="9"/>
  <c r="P192" i="9"/>
  <c r="J192" i="9"/>
  <c r="BE192" i="9" s="1"/>
  <c r="BK191" i="9"/>
  <c r="BI191" i="9"/>
  <c r="BH191" i="9"/>
  <c r="BG191" i="9"/>
  <c r="BF191" i="9"/>
  <c r="T191" i="9"/>
  <c r="R191" i="9"/>
  <c r="P191" i="9"/>
  <c r="J191" i="9"/>
  <c r="BE191" i="9" s="1"/>
  <c r="BK190" i="9"/>
  <c r="BI190" i="9"/>
  <c r="BH190" i="9"/>
  <c r="BG190" i="9"/>
  <c r="BF190" i="9"/>
  <c r="T190" i="9"/>
  <c r="R190" i="9"/>
  <c r="R189" i="9" s="1"/>
  <c r="P190" i="9"/>
  <c r="J190" i="9"/>
  <c r="BE190" i="9" s="1"/>
  <c r="BK188" i="9"/>
  <c r="BI188" i="9"/>
  <c r="BH188" i="9"/>
  <c r="BG188" i="9"/>
  <c r="BF188" i="9"/>
  <c r="T188" i="9"/>
  <c r="R188" i="9"/>
  <c r="P188" i="9"/>
  <c r="J188" i="9"/>
  <c r="BE188" i="9" s="1"/>
  <c r="BK187" i="9"/>
  <c r="BI187" i="9"/>
  <c r="BH187" i="9"/>
  <c r="BG187" i="9"/>
  <c r="BF187" i="9"/>
  <c r="T187" i="9"/>
  <c r="R187" i="9"/>
  <c r="P187" i="9"/>
  <c r="J187" i="9"/>
  <c r="BE187" i="9" s="1"/>
  <c r="BK185" i="9"/>
  <c r="BI185" i="9"/>
  <c r="BH185" i="9"/>
  <c r="BG185" i="9"/>
  <c r="BF185" i="9"/>
  <c r="T185" i="9"/>
  <c r="R185" i="9"/>
  <c r="P185" i="9"/>
  <c r="J185" i="9"/>
  <c r="BE185" i="9" s="1"/>
  <c r="BK184" i="9"/>
  <c r="BI184" i="9"/>
  <c r="BH184" i="9"/>
  <c r="BG184" i="9"/>
  <c r="BF184" i="9"/>
  <c r="T184" i="9"/>
  <c r="R184" i="9"/>
  <c r="P184" i="9"/>
  <c r="J184" i="9"/>
  <c r="BE184" i="9" s="1"/>
  <c r="BK183" i="9"/>
  <c r="BI183" i="9"/>
  <c r="BH183" i="9"/>
  <c r="BG183" i="9"/>
  <c r="BF183" i="9"/>
  <c r="T183" i="9"/>
  <c r="R183" i="9"/>
  <c r="P183" i="9"/>
  <c r="J183" i="9"/>
  <c r="BE183" i="9" s="1"/>
  <c r="BK182" i="9"/>
  <c r="BI182" i="9"/>
  <c r="BH182" i="9"/>
  <c r="BG182" i="9"/>
  <c r="BF182" i="9"/>
  <c r="T182" i="9"/>
  <c r="R182" i="9"/>
  <c r="P182" i="9"/>
  <c r="J182" i="9"/>
  <c r="BE182" i="9" s="1"/>
  <c r="BK181" i="9"/>
  <c r="BI181" i="9"/>
  <c r="BH181" i="9"/>
  <c r="BG181" i="9"/>
  <c r="BF181" i="9"/>
  <c r="T181" i="9"/>
  <c r="R181" i="9"/>
  <c r="P181" i="9"/>
  <c r="J181" i="9"/>
  <c r="BE181" i="9" s="1"/>
  <c r="BK180" i="9"/>
  <c r="BI180" i="9"/>
  <c r="BH180" i="9"/>
  <c r="BG180" i="9"/>
  <c r="BF180" i="9"/>
  <c r="T180" i="9"/>
  <c r="R180" i="9"/>
  <c r="P180" i="9"/>
  <c r="J180" i="9"/>
  <c r="BE180" i="9" s="1"/>
  <c r="BK179" i="9"/>
  <c r="BI179" i="9"/>
  <c r="BH179" i="9"/>
  <c r="BG179" i="9"/>
  <c r="BF179" i="9"/>
  <c r="BE179" i="9"/>
  <c r="T179" i="9"/>
  <c r="R179" i="9"/>
  <c r="P179" i="9"/>
  <c r="J179" i="9"/>
  <c r="BK178" i="9"/>
  <c r="BI178" i="9"/>
  <c r="BH178" i="9"/>
  <c r="BG178" i="9"/>
  <c r="BF178" i="9"/>
  <c r="T178" i="9"/>
  <c r="R178" i="9"/>
  <c r="P178" i="9"/>
  <c r="J178" i="9"/>
  <c r="BE178" i="9" s="1"/>
  <c r="BK177" i="9"/>
  <c r="BI177" i="9"/>
  <c r="BH177" i="9"/>
  <c r="BG177" i="9"/>
  <c r="BF177" i="9"/>
  <c r="T177" i="9"/>
  <c r="R177" i="9"/>
  <c r="P177" i="9"/>
  <c r="J177" i="9"/>
  <c r="BE177" i="9" s="1"/>
  <c r="BK176" i="9"/>
  <c r="BI176" i="9"/>
  <c r="BH176" i="9"/>
  <c r="BG176" i="9"/>
  <c r="BF176" i="9"/>
  <c r="T176" i="9"/>
  <c r="R176" i="9"/>
  <c r="P176" i="9"/>
  <c r="J176" i="9"/>
  <c r="BE176" i="9" s="1"/>
  <c r="BK175" i="9"/>
  <c r="BI175" i="9"/>
  <c r="BH175" i="9"/>
  <c r="BG175" i="9"/>
  <c r="BF175" i="9"/>
  <c r="BE175" i="9"/>
  <c r="T175" i="9"/>
  <c r="R175" i="9"/>
  <c r="P175" i="9"/>
  <c r="J175" i="9"/>
  <c r="BK174" i="9"/>
  <c r="BI174" i="9"/>
  <c r="BH174" i="9"/>
  <c r="BG174" i="9"/>
  <c r="BF174" i="9"/>
  <c r="BE174" i="9"/>
  <c r="T174" i="9"/>
  <c r="R174" i="9"/>
  <c r="P174" i="9"/>
  <c r="J174" i="9"/>
  <c r="BK173" i="9"/>
  <c r="BI173" i="9"/>
  <c r="BH173" i="9"/>
  <c r="BG173" i="9"/>
  <c r="BF173" i="9"/>
  <c r="T173" i="9"/>
  <c r="R173" i="9"/>
  <c r="P173" i="9"/>
  <c r="J173" i="9"/>
  <c r="BE173" i="9" s="1"/>
  <c r="BK172" i="9"/>
  <c r="BI172" i="9"/>
  <c r="BH172" i="9"/>
  <c r="BG172" i="9"/>
  <c r="BF172" i="9"/>
  <c r="T172" i="9"/>
  <c r="R172" i="9"/>
  <c r="P172" i="9"/>
  <c r="J172" i="9"/>
  <c r="BE172" i="9" s="1"/>
  <c r="BK171" i="9"/>
  <c r="BI171" i="9"/>
  <c r="BH171" i="9"/>
  <c r="BG171" i="9"/>
  <c r="BF171" i="9"/>
  <c r="T171" i="9"/>
  <c r="R171" i="9"/>
  <c r="P171" i="9"/>
  <c r="J171" i="9"/>
  <c r="BE171" i="9" s="1"/>
  <c r="BK170" i="9"/>
  <c r="BI170" i="9"/>
  <c r="BH170" i="9"/>
  <c r="BG170" i="9"/>
  <c r="BF170" i="9"/>
  <c r="BE170" i="9"/>
  <c r="T170" i="9"/>
  <c r="T169" i="9" s="1"/>
  <c r="R170" i="9"/>
  <c r="P170" i="9"/>
  <c r="J170" i="9"/>
  <c r="BK168" i="9"/>
  <c r="BI168" i="9"/>
  <c r="BH168" i="9"/>
  <c r="BG168" i="9"/>
  <c r="BF168" i="9"/>
  <c r="T168" i="9"/>
  <c r="R168" i="9"/>
  <c r="P168" i="9"/>
  <c r="J168" i="9"/>
  <c r="BE168" i="9" s="1"/>
  <c r="BK167" i="9"/>
  <c r="BI167" i="9"/>
  <c r="BH167" i="9"/>
  <c r="BG167" i="9"/>
  <c r="BF167" i="9"/>
  <c r="T167" i="9"/>
  <c r="R167" i="9"/>
  <c r="P167" i="9"/>
  <c r="J167" i="9"/>
  <c r="BE167" i="9" s="1"/>
  <c r="BK166" i="9"/>
  <c r="BI166" i="9"/>
  <c r="BH166" i="9"/>
  <c r="BG166" i="9"/>
  <c r="BF166" i="9"/>
  <c r="T166" i="9"/>
  <c r="R166" i="9"/>
  <c r="P166" i="9"/>
  <c r="J166" i="9"/>
  <c r="BE166" i="9" s="1"/>
  <c r="BK165" i="9"/>
  <c r="BI165" i="9"/>
  <c r="BH165" i="9"/>
  <c r="BG165" i="9"/>
  <c r="BF165" i="9"/>
  <c r="T165" i="9"/>
  <c r="R165" i="9"/>
  <c r="P165" i="9"/>
  <c r="J165" i="9"/>
  <c r="BE165" i="9" s="1"/>
  <c r="BK164" i="9"/>
  <c r="BI164" i="9"/>
  <c r="BH164" i="9"/>
  <c r="BG164" i="9"/>
  <c r="BF164" i="9"/>
  <c r="BE164" i="9"/>
  <c r="T164" i="9"/>
  <c r="R164" i="9"/>
  <c r="P164" i="9"/>
  <c r="J164" i="9"/>
  <c r="BK163" i="9"/>
  <c r="BI163" i="9"/>
  <c r="BH163" i="9"/>
  <c r="BG163" i="9"/>
  <c r="BF163" i="9"/>
  <c r="T163" i="9"/>
  <c r="R163" i="9"/>
  <c r="P163" i="9"/>
  <c r="J163" i="9"/>
  <c r="BE163" i="9" s="1"/>
  <c r="BK162" i="9"/>
  <c r="BI162" i="9"/>
  <c r="BH162" i="9"/>
  <c r="BG162" i="9"/>
  <c r="BF162" i="9"/>
  <c r="T162" i="9"/>
  <c r="R162" i="9"/>
  <c r="P162" i="9"/>
  <c r="J162" i="9"/>
  <c r="BE162" i="9" s="1"/>
  <c r="BK161" i="9"/>
  <c r="BI161" i="9"/>
  <c r="BH161" i="9"/>
  <c r="BG161" i="9"/>
  <c r="BF161" i="9"/>
  <c r="T161" i="9"/>
  <c r="R161" i="9"/>
  <c r="P161" i="9"/>
  <c r="J161" i="9"/>
  <c r="BE161" i="9" s="1"/>
  <c r="BK160" i="9"/>
  <c r="BI160" i="9"/>
  <c r="BH160" i="9"/>
  <c r="BG160" i="9"/>
  <c r="BF160" i="9"/>
  <c r="T160" i="9"/>
  <c r="R160" i="9"/>
  <c r="P160" i="9"/>
  <c r="J160" i="9"/>
  <c r="BE160" i="9" s="1"/>
  <c r="BK159" i="9"/>
  <c r="BI159" i="9"/>
  <c r="BH159" i="9"/>
  <c r="BG159" i="9"/>
  <c r="BF159" i="9"/>
  <c r="T159" i="9"/>
  <c r="R159" i="9"/>
  <c r="P159" i="9"/>
  <c r="P157" i="9" s="1"/>
  <c r="J159" i="9"/>
  <c r="BE159" i="9" s="1"/>
  <c r="BK158" i="9"/>
  <c r="BI158" i="9"/>
  <c r="BH158" i="9"/>
  <c r="BG158" i="9"/>
  <c r="BF158" i="9"/>
  <c r="T158" i="9"/>
  <c r="T157" i="9" s="1"/>
  <c r="R158" i="9"/>
  <c r="P158" i="9"/>
  <c r="J158" i="9"/>
  <c r="BE158" i="9" s="1"/>
  <c r="BK156" i="9"/>
  <c r="BI156" i="9"/>
  <c r="BH156" i="9"/>
  <c r="BG156" i="9"/>
  <c r="BF156" i="9"/>
  <c r="T156" i="9"/>
  <c r="R156" i="9"/>
  <c r="P156" i="9"/>
  <c r="J156" i="9"/>
  <c r="BE156" i="9" s="1"/>
  <c r="BK155" i="9"/>
  <c r="BI155" i="9"/>
  <c r="BH155" i="9"/>
  <c r="BG155" i="9"/>
  <c r="BF155" i="9"/>
  <c r="T155" i="9"/>
  <c r="R155" i="9"/>
  <c r="P155" i="9"/>
  <c r="J155" i="9"/>
  <c r="BE155" i="9" s="1"/>
  <c r="BK154" i="9"/>
  <c r="BI154" i="9"/>
  <c r="BH154" i="9"/>
  <c r="BG154" i="9"/>
  <c r="BF154" i="9"/>
  <c r="T154" i="9"/>
  <c r="R154" i="9"/>
  <c r="P154" i="9"/>
  <c r="J154" i="9"/>
  <c r="BE154" i="9" s="1"/>
  <c r="BK153" i="9"/>
  <c r="BI153" i="9"/>
  <c r="BH153" i="9"/>
  <c r="BG153" i="9"/>
  <c r="BF153" i="9"/>
  <c r="T153" i="9"/>
  <c r="R153" i="9"/>
  <c r="P153" i="9"/>
  <c r="J153" i="9"/>
  <c r="BE153" i="9" s="1"/>
  <c r="BK152" i="9"/>
  <c r="BI152" i="9"/>
  <c r="BH152" i="9"/>
  <c r="BG152" i="9"/>
  <c r="BF152" i="9"/>
  <c r="T152" i="9"/>
  <c r="R152" i="9"/>
  <c r="P152" i="9"/>
  <c r="J152" i="9"/>
  <c r="BE152" i="9" s="1"/>
  <c r="BK151" i="9"/>
  <c r="BI151" i="9"/>
  <c r="BH151" i="9"/>
  <c r="BG151" i="9"/>
  <c r="BF151" i="9"/>
  <c r="T151" i="9"/>
  <c r="R151" i="9"/>
  <c r="P151" i="9"/>
  <c r="J151" i="9"/>
  <c r="BE151" i="9" s="1"/>
  <c r="BK150" i="9"/>
  <c r="BI150" i="9"/>
  <c r="BH150" i="9"/>
  <c r="BG150" i="9"/>
  <c r="BF150" i="9"/>
  <c r="T150" i="9"/>
  <c r="R150" i="9"/>
  <c r="P150" i="9"/>
  <c r="J150" i="9"/>
  <c r="BE150" i="9" s="1"/>
  <c r="BK149" i="9"/>
  <c r="BI149" i="9"/>
  <c r="BH149" i="9"/>
  <c r="BG149" i="9"/>
  <c r="BF149" i="9"/>
  <c r="T149" i="9"/>
  <c r="R149" i="9"/>
  <c r="P149" i="9"/>
  <c r="J149" i="9"/>
  <c r="BE149" i="9" s="1"/>
  <c r="BK148" i="9"/>
  <c r="BI148" i="9"/>
  <c r="BH148" i="9"/>
  <c r="BG148" i="9"/>
  <c r="BF148" i="9"/>
  <c r="T148" i="9"/>
  <c r="R148" i="9"/>
  <c r="P148" i="9"/>
  <c r="J148" i="9"/>
  <c r="BE148" i="9" s="1"/>
  <c r="BK147" i="9"/>
  <c r="BI147" i="9"/>
  <c r="BH147" i="9"/>
  <c r="BG147" i="9"/>
  <c r="BF147" i="9"/>
  <c r="T147" i="9"/>
  <c r="R147" i="9"/>
  <c r="P147" i="9"/>
  <c r="J147" i="9"/>
  <c r="BE147" i="9" s="1"/>
  <c r="BK146" i="9"/>
  <c r="BI146" i="9"/>
  <c r="BH146" i="9"/>
  <c r="BG146" i="9"/>
  <c r="BF146" i="9"/>
  <c r="T146" i="9"/>
  <c r="R146" i="9"/>
  <c r="P146" i="9"/>
  <c r="J146" i="9"/>
  <c r="BE146" i="9" s="1"/>
  <c r="BK145" i="9"/>
  <c r="BI145" i="9"/>
  <c r="BH145" i="9"/>
  <c r="BG145" i="9"/>
  <c r="BF145" i="9"/>
  <c r="T145" i="9"/>
  <c r="R145" i="9"/>
  <c r="P145" i="9"/>
  <c r="J145" i="9"/>
  <c r="BE145" i="9" s="1"/>
  <c r="BK144" i="9"/>
  <c r="BI144" i="9"/>
  <c r="BH144" i="9"/>
  <c r="BG144" i="9"/>
  <c r="BF144" i="9"/>
  <c r="T144" i="9"/>
  <c r="R144" i="9"/>
  <c r="P144" i="9"/>
  <c r="J144" i="9"/>
  <c r="BE144" i="9" s="1"/>
  <c r="BK143" i="9"/>
  <c r="BI143" i="9"/>
  <c r="BH143" i="9"/>
  <c r="BG143" i="9"/>
  <c r="BF143" i="9"/>
  <c r="T143" i="9"/>
  <c r="R143" i="9"/>
  <c r="P143" i="9"/>
  <c r="J143" i="9"/>
  <c r="BE143" i="9" s="1"/>
  <c r="BK142" i="9"/>
  <c r="BI142" i="9"/>
  <c r="BH142" i="9"/>
  <c r="BG142" i="9"/>
  <c r="BF142" i="9"/>
  <c r="T142" i="9"/>
  <c r="R142" i="9"/>
  <c r="P142" i="9"/>
  <c r="J142" i="9"/>
  <c r="BE142" i="9" s="1"/>
  <c r="BK141" i="9"/>
  <c r="BI141" i="9"/>
  <c r="BH141" i="9"/>
  <c r="BG141" i="9"/>
  <c r="BF141" i="9"/>
  <c r="T141" i="9"/>
  <c r="R141" i="9"/>
  <c r="P141" i="9"/>
  <c r="J141" i="9"/>
  <c r="BE141" i="9" s="1"/>
  <c r="BK140" i="9"/>
  <c r="BI140" i="9"/>
  <c r="BH140" i="9"/>
  <c r="BG140" i="9"/>
  <c r="BF140" i="9"/>
  <c r="T140" i="9"/>
  <c r="R140" i="9"/>
  <c r="P140" i="9"/>
  <c r="J140" i="9"/>
  <c r="BE140" i="9" s="1"/>
  <c r="BK139" i="9"/>
  <c r="BI139" i="9"/>
  <c r="BH139" i="9"/>
  <c r="BG139" i="9"/>
  <c r="BF139" i="9"/>
  <c r="T139" i="9"/>
  <c r="R139" i="9"/>
  <c r="P139" i="9"/>
  <c r="J139" i="9"/>
  <c r="BE139" i="9" s="1"/>
  <c r="BK138" i="9"/>
  <c r="BI138" i="9"/>
  <c r="BH138" i="9"/>
  <c r="BG138" i="9"/>
  <c r="BF138" i="9"/>
  <c r="T138" i="9"/>
  <c r="R138" i="9"/>
  <c r="P138" i="9"/>
  <c r="J138" i="9"/>
  <c r="BE138" i="9" s="1"/>
  <c r="BK137" i="9"/>
  <c r="BI137" i="9"/>
  <c r="BH137" i="9"/>
  <c r="BG137" i="9"/>
  <c r="BF137" i="9"/>
  <c r="BE137" i="9"/>
  <c r="T137" i="9"/>
  <c r="R137" i="9"/>
  <c r="P137" i="9"/>
  <c r="J137" i="9"/>
  <c r="BK136" i="9"/>
  <c r="BI136" i="9"/>
  <c r="BH136" i="9"/>
  <c r="BG136" i="9"/>
  <c r="BF136" i="9"/>
  <c r="T136" i="9"/>
  <c r="R136" i="9"/>
  <c r="P136" i="9"/>
  <c r="J136" i="9"/>
  <c r="BE136" i="9" s="1"/>
  <c r="BK135" i="9"/>
  <c r="BK134" i="9" s="1"/>
  <c r="J134" i="9" s="1"/>
  <c r="J97" i="9" s="1"/>
  <c r="BI135" i="9"/>
  <c r="BH135" i="9"/>
  <c r="BG135" i="9"/>
  <c r="BF135" i="9"/>
  <c r="T135" i="9"/>
  <c r="R135" i="9"/>
  <c r="P135" i="9"/>
  <c r="J135" i="9"/>
  <c r="BE135" i="9" s="1"/>
  <c r="BK133" i="9"/>
  <c r="BK132" i="9" s="1"/>
  <c r="J132" i="9" s="1"/>
  <c r="J96" i="9" s="1"/>
  <c r="BI133" i="9"/>
  <c r="BH133" i="9"/>
  <c r="BG133" i="9"/>
  <c r="BF133" i="9"/>
  <c r="T133" i="9"/>
  <c r="R133" i="9"/>
  <c r="R132" i="9" s="1"/>
  <c r="P133" i="9"/>
  <c r="P132" i="9" s="1"/>
  <c r="J133" i="9"/>
  <c r="BE133" i="9" s="1"/>
  <c r="T132" i="9"/>
  <c r="J126" i="9"/>
  <c r="F124" i="9"/>
  <c r="E122" i="9"/>
  <c r="J90" i="9"/>
  <c r="F89" i="9"/>
  <c r="J87" i="9"/>
  <c r="F87" i="9"/>
  <c r="E85" i="9"/>
  <c r="J35" i="9"/>
  <c r="J34" i="9"/>
  <c r="J33" i="9"/>
  <c r="J127" i="9" s="1"/>
  <c r="J89" i="9" s="1"/>
  <c r="F90" i="9" s="1"/>
  <c r="F126" i="9" s="1"/>
  <c r="J124" i="9" s="1"/>
  <c r="P274" i="9" l="1"/>
  <c r="P270" i="9" s="1"/>
  <c r="R293" i="9"/>
  <c r="P297" i="9"/>
  <c r="T186" i="9"/>
  <c r="T134" i="9"/>
  <c r="P198" i="9"/>
  <c r="P197" i="9" s="1"/>
  <c r="BK186" i="9"/>
  <c r="J186" i="9" s="1"/>
  <c r="J100" i="9" s="1"/>
  <c r="BK194" i="9"/>
  <c r="J194" i="9" s="1"/>
  <c r="J102" i="9" s="1"/>
  <c r="R198" i="9"/>
  <c r="R197" i="9" s="1"/>
  <c r="T293" i="9"/>
  <c r="T270" i="9" s="1"/>
  <c r="BK157" i="9"/>
  <c r="J157" i="9" s="1"/>
  <c r="J98" i="9" s="1"/>
  <c r="P194" i="9"/>
  <c r="T198" i="9"/>
  <c r="T197" i="9" s="1"/>
  <c r="R169" i="9"/>
  <c r="P189" i="9"/>
  <c r="P186" i="9"/>
  <c r="R134" i="9"/>
  <c r="R131" i="9" s="1"/>
  <c r="BK198" i="9"/>
  <c r="J198" i="9" s="1"/>
  <c r="J104" i="9" s="1"/>
  <c r="BK197" i="9"/>
  <c r="J197" i="9" s="1"/>
  <c r="J103" i="9" s="1"/>
  <c r="F34" i="9"/>
  <c r="F33" i="9"/>
  <c r="BK169" i="9"/>
  <c r="J169" i="9" s="1"/>
  <c r="J99" i="9" s="1"/>
  <c r="BK274" i="9"/>
  <c r="J274" i="9" s="1"/>
  <c r="J106" i="9" s="1"/>
  <c r="R186" i="9"/>
  <c r="R274" i="9"/>
  <c r="P308" i="9"/>
  <c r="J32" i="9"/>
  <c r="BK189" i="9"/>
  <c r="J189" i="9" s="1"/>
  <c r="J101" i="9" s="1"/>
  <c r="P293" i="9"/>
  <c r="F35" i="9"/>
  <c r="R297" i="9"/>
  <c r="T189" i="9"/>
  <c r="T131" i="9" s="1"/>
  <c r="T274" i="9"/>
  <c r="R313" i="9"/>
  <c r="R308" i="9" s="1"/>
  <c r="R157" i="9"/>
  <c r="P134" i="9"/>
  <c r="P169" i="9"/>
  <c r="T313" i="9"/>
  <c r="T308" i="9" s="1"/>
  <c r="J293" i="9"/>
  <c r="J107" i="9" s="1"/>
  <c r="BK308" i="9"/>
  <c r="J308" i="9" s="1"/>
  <c r="J109" i="9" s="1"/>
  <c r="J311" i="9"/>
  <c r="J111" i="9" s="1"/>
  <c r="F31" i="9"/>
  <c r="J31" i="9"/>
  <c r="F32" i="9"/>
  <c r="F127" i="9"/>
  <c r="BK131" i="9" l="1"/>
  <c r="R270" i="9"/>
  <c r="R130" i="9" s="1"/>
  <c r="T130" i="9"/>
  <c r="P131" i="9"/>
  <c r="P130" i="9" s="1"/>
  <c r="BK270" i="9"/>
  <c r="J270" i="9" s="1"/>
  <c r="J105" i="9" s="1"/>
  <c r="J131" i="9"/>
  <c r="J95" i="9" s="1"/>
  <c r="BK130" i="9" l="1"/>
  <c r="J130" i="9" s="1"/>
  <c r="J28" i="9" s="1"/>
  <c r="J94" i="9"/>
  <c r="J37" i="9" l="1"/>
  <c r="G342" i="4"/>
  <c r="G52" i="8"/>
  <c r="G51" i="8"/>
  <c r="G50" i="8"/>
  <c r="G49" i="8"/>
  <c r="G48" i="8"/>
  <c r="D47" i="8"/>
  <c r="G47" i="8" s="1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A24" i="8"/>
  <c r="G23" i="8"/>
  <c r="G22" i="8"/>
  <c r="G21" i="8"/>
  <c r="G20" i="8"/>
  <c r="G19" i="8"/>
  <c r="A19" i="8"/>
  <c r="G18" i="8"/>
  <c r="A18" i="8"/>
  <c r="G17" i="8"/>
  <c r="G16" i="8"/>
  <c r="G15" i="8"/>
  <c r="G14" i="8"/>
  <c r="G13" i="8"/>
  <c r="G12" i="8"/>
  <c r="G11" i="8"/>
  <c r="G49" i="7"/>
  <c r="G48" i="7"/>
  <c r="G47" i="7"/>
  <c r="G46" i="7"/>
  <c r="G45" i="7"/>
  <c r="D44" i="7"/>
  <c r="G44" i="7" s="1"/>
  <c r="G43" i="7"/>
  <c r="G42" i="7"/>
  <c r="G41" i="7"/>
  <c r="G40" i="7"/>
  <c r="A40" i="7"/>
  <c r="A43" i="8" s="1"/>
  <c r="G39" i="7"/>
  <c r="A39" i="7"/>
  <c r="A42" i="8" s="1"/>
  <c r="G38" i="7"/>
  <c r="A38" i="7"/>
  <c r="A41" i="8" s="1"/>
  <c r="G37" i="7"/>
  <c r="G36" i="7"/>
  <c r="G35" i="7"/>
  <c r="A35" i="7"/>
  <c r="A38" i="8" s="1"/>
  <c r="G34" i="7"/>
  <c r="A34" i="7"/>
  <c r="A37" i="8" s="1"/>
  <c r="G33" i="7"/>
  <c r="A33" i="7"/>
  <c r="A36" i="8" s="1"/>
  <c r="G32" i="7"/>
  <c r="A32" i="7"/>
  <c r="A35" i="8" s="1"/>
  <c r="G31" i="7"/>
  <c r="G30" i="7"/>
  <c r="G29" i="7"/>
  <c r="G28" i="7"/>
  <c r="A28" i="7"/>
  <c r="A31" i="8" s="1"/>
  <c r="G27" i="7"/>
  <c r="A27" i="7"/>
  <c r="A30" i="8" s="1"/>
  <c r="G26" i="7"/>
  <c r="A26" i="7"/>
  <c r="A29" i="8" s="1"/>
  <c r="G25" i="7"/>
  <c r="A25" i="7"/>
  <c r="A28" i="8" s="1"/>
  <c r="G24" i="7"/>
  <c r="G23" i="7"/>
  <c r="G22" i="7"/>
  <c r="G21" i="7"/>
  <c r="G20" i="7"/>
  <c r="A20" i="7"/>
  <c r="A23" i="8" s="1"/>
  <c r="G19" i="7"/>
  <c r="A19" i="7"/>
  <c r="A22" i="8" s="1"/>
  <c r="G18" i="7"/>
  <c r="G17" i="7"/>
  <c r="G16" i="7"/>
  <c r="G15" i="7"/>
  <c r="G14" i="7"/>
  <c r="G13" i="7"/>
  <c r="A13" i="7"/>
  <c r="G12" i="7"/>
  <c r="G11" i="7"/>
  <c r="G29" i="6"/>
  <c r="G28" i="6"/>
  <c r="G27" i="6"/>
  <c r="A27" i="6"/>
  <c r="G26" i="6"/>
  <c r="A26" i="6"/>
  <c r="G25" i="6"/>
  <c r="A25" i="6"/>
  <c r="G24" i="6"/>
  <c r="A24" i="6"/>
  <c r="G23" i="6"/>
  <c r="G22" i="6"/>
  <c r="G21" i="6"/>
  <c r="A21" i="6"/>
  <c r="G20" i="6"/>
  <c r="A20" i="6"/>
  <c r="G19" i="6"/>
  <c r="A19" i="6"/>
  <c r="G18" i="6"/>
  <c r="G17" i="6"/>
  <c r="G16" i="6"/>
  <c r="A16" i="6"/>
  <c r="G15" i="6"/>
  <c r="G14" i="6"/>
  <c r="G13" i="6"/>
  <c r="G12" i="6"/>
  <c r="A12" i="6"/>
  <c r="G11" i="6"/>
  <c r="G10" i="6"/>
  <c r="G9" i="6"/>
  <c r="G8" i="6"/>
  <c r="A8" i="6"/>
  <c r="G52" i="7" l="1"/>
  <c r="G175" i="4" s="1"/>
  <c r="G55" i="8"/>
  <c r="G176" i="4" s="1"/>
  <c r="G32" i="6"/>
  <c r="G174" i="4" s="1"/>
  <c r="F8" i="5"/>
  <c r="C8" i="5"/>
  <c r="F6" i="5"/>
  <c r="C6" i="5"/>
  <c r="F4" i="5"/>
  <c r="C4" i="5"/>
  <c r="F2" i="5"/>
  <c r="C2" i="5"/>
  <c r="BS354" i="4"/>
  <c r="BJ354" i="4"/>
  <c r="BF354" i="4"/>
  <c r="BD354" i="4"/>
  <c r="AX354" i="4"/>
  <c r="BC354" i="4" s="1"/>
  <c r="AW354" i="4"/>
  <c r="AP354" i="4"/>
  <c r="BI354" i="4" s="1"/>
  <c r="AO354" i="4"/>
  <c r="BH354" i="4" s="1"/>
  <c r="AK354" i="4"/>
  <c r="AJ354" i="4"/>
  <c r="AH354" i="4"/>
  <c r="AG354" i="4"/>
  <c r="AF354" i="4"/>
  <c r="AE354" i="4"/>
  <c r="AD354" i="4"/>
  <c r="AC354" i="4"/>
  <c r="AB354" i="4"/>
  <c r="Z354" i="4"/>
  <c r="J354" i="4"/>
  <c r="J351" i="4" s="1"/>
  <c r="H354" i="4"/>
  <c r="BS353" i="4"/>
  <c r="BJ353" i="4"/>
  <c r="BF353" i="4"/>
  <c r="BD353" i="4"/>
  <c r="AP353" i="4"/>
  <c r="AX353" i="4" s="1"/>
  <c r="AO353" i="4"/>
  <c r="AL353" i="4"/>
  <c r="AK353" i="4"/>
  <c r="AJ353" i="4"/>
  <c r="AH353" i="4"/>
  <c r="AG353" i="4"/>
  <c r="AF353" i="4"/>
  <c r="AE353" i="4"/>
  <c r="AD353" i="4"/>
  <c r="AC353" i="4"/>
  <c r="AB353" i="4"/>
  <c r="Z353" i="4"/>
  <c r="J353" i="4"/>
  <c r="BS352" i="4"/>
  <c r="BJ352" i="4"/>
  <c r="BI352" i="4"/>
  <c r="BF352" i="4"/>
  <c r="BD352" i="4"/>
  <c r="AP352" i="4"/>
  <c r="AO352" i="4"/>
  <c r="BH352" i="4" s="1"/>
  <c r="AK352" i="4"/>
  <c r="AJ352" i="4"/>
  <c r="AH352" i="4"/>
  <c r="AG352" i="4"/>
  <c r="AF352" i="4"/>
  <c r="AE352" i="4"/>
  <c r="AD352" i="4"/>
  <c r="AC352" i="4"/>
  <c r="AB352" i="4"/>
  <c r="Z352" i="4"/>
  <c r="J352" i="4"/>
  <c r="AL352" i="4" s="1"/>
  <c r="BP350" i="4"/>
  <c r="BJ350" i="4"/>
  <c r="BF350" i="4"/>
  <c r="BD350" i="4"/>
  <c r="AP350" i="4"/>
  <c r="BI350" i="4" s="1"/>
  <c r="AO350" i="4"/>
  <c r="BH350" i="4" s="1"/>
  <c r="AL350" i="4"/>
  <c r="AU349" i="4" s="1"/>
  <c r="AK350" i="4"/>
  <c r="AJ350" i="4"/>
  <c r="AH350" i="4"/>
  <c r="AG350" i="4"/>
  <c r="AF350" i="4"/>
  <c r="AE350" i="4"/>
  <c r="AD350" i="4"/>
  <c r="AC350" i="4"/>
  <c r="AB350" i="4"/>
  <c r="Z350" i="4"/>
  <c r="J350" i="4"/>
  <c r="J349" i="4" s="1"/>
  <c r="L58" i="3" s="1"/>
  <c r="N58" i="3" s="1"/>
  <c r="H350" i="4"/>
  <c r="H349" i="4" s="1"/>
  <c r="AT349" i="4"/>
  <c r="AS349" i="4"/>
  <c r="BO348" i="4"/>
  <c r="BJ348" i="4"/>
  <c r="BF348" i="4"/>
  <c r="BD348" i="4"/>
  <c r="AP348" i="4"/>
  <c r="AO348" i="4"/>
  <c r="BH348" i="4" s="1"/>
  <c r="AK348" i="4"/>
  <c r="AT347" i="4" s="1"/>
  <c r="AJ348" i="4"/>
  <c r="AH348" i="4"/>
  <c r="AG348" i="4"/>
  <c r="AF348" i="4"/>
  <c r="AE348" i="4"/>
  <c r="AD348" i="4"/>
  <c r="AC348" i="4"/>
  <c r="AB348" i="4"/>
  <c r="Z348" i="4"/>
  <c r="J348" i="4"/>
  <c r="AL348" i="4" s="1"/>
  <c r="AU347" i="4" s="1"/>
  <c r="AS347" i="4"/>
  <c r="BM346" i="4"/>
  <c r="BJ346" i="4"/>
  <c r="BF346" i="4"/>
  <c r="BD346" i="4"/>
  <c r="AP346" i="4"/>
  <c r="BI346" i="4" s="1"/>
  <c r="AO346" i="4"/>
  <c r="BH346" i="4" s="1"/>
  <c r="AK346" i="4"/>
  <c r="AJ346" i="4"/>
  <c r="AH346" i="4"/>
  <c r="AG346" i="4"/>
  <c r="AF346" i="4"/>
  <c r="AE346" i="4"/>
  <c r="AD346" i="4"/>
  <c r="AC346" i="4"/>
  <c r="AB346" i="4"/>
  <c r="Z346" i="4"/>
  <c r="J346" i="4"/>
  <c r="AL346" i="4" s="1"/>
  <c r="BM345" i="4"/>
  <c r="BJ345" i="4"/>
  <c r="BF345" i="4"/>
  <c r="BD345" i="4"/>
  <c r="AW345" i="4"/>
  <c r="AP345" i="4"/>
  <c r="BI345" i="4" s="1"/>
  <c r="AO345" i="4"/>
  <c r="BH345" i="4" s="1"/>
  <c r="AK345" i="4"/>
  <c r="AJ345" i="4"/>
  <c r="AS344" i="4" s="1"/>
  <c r="AH345" i="4"/>
  <c r="AG345" i="4"/>
  <c r="AF345" i="4"/>
  <c r="AE345" i="4"/>
  <c r="AD345" i="4"/>
  <c r="AC345" i="4"/>
  <c r="AB345" i="4"/>
  <c r="Z345" i="4"/>
  <c r="J345" i="4"/>
  <c r="I345" i="4"/>
  <c r="BJ342" i="4"/>
  <c r="BF342" i="4"/>
  <c r="BD342" i="4"/>
  <c r="AP342" i="4"/>
  <c r="BI342" i="4" s="1"/>
  <c r="AG342" i="4" s="1"/>
  <c r="AO342" i="4"/>
  <c r="H342" i="4" s="1"/>
  <c r="H341" i="4" s="1"/>
  <c r="AK342" i="4"/>
  <c r="AT341" i="4" s="1"/>
  <c r="AJ342" i="4"/>
  <c r="AS341" i="4" s="1"/>
  <c r="AH342" i="4"/>
  <c r="AE342" i="4"/>
  <c r="AD342" i="4"/>
  <c r="AC342" i="4"/>
  <c r="AB342" i="4"/>
  <c r="Z342" i="4"/>
  <c r="J342" i="4"/>
  <c r="AL342" i="4" s="1"/>
  <c r="AU341" i="4" s="1"/>
  <c r="J341" i="4"/>
  <c r="L54" i="3" s="1"/>
  <c r="N54" i="3" s="1"/>
  <c r="BJ340" i="4"/>
  <c r="BF340" i="4"/>
  <c r="BD340" i="4"/>
  <c r="AX340" i="4"/>
  <c r="AV340" i="4" s="1"/>
  <c r="AW340" i="4"/>
  <c r="BC340" i="4" s="1"/>
  <c r="AP340" i="4"/>
  <c r="BI340" i="4" s="1"/>
  <c r="AO340" i="4"/>
  <c r="BH340" i="4" s="1"/>
  <c r="AK340" i="4"/>
  <c r="AJ340" i="4"/>
  <c r="AH340" i="4"/>
  <c r="AG340" i="4"/>
  <c r="AF340" i="4"/>
  <c r="AE340" i="4"/>
  <c r="AD340" i="4"/>
  <c r="AC340" i="4"/>
  <c r="AB340" i="4"/>
  <c r="Z340" i="4"/>
  <c r="J340" i="4"/>
  <c r="AL340" i="4" s="1"/>
  <c r="H340" i="4"/>
  <c r="BJ339" i="4"/>
  <c r="Z339" i="4" s="1"/>
  <c r="BF339" i="4"/>
  <c r="BD339" i="4"/>
  <c r="AX339" i="4"/>
  <c r="AP339" i="4"/>
  <c r="BI339" i="4" s="1"/>
  <c r="AO339" i="4"/>
  <c r="H339" i="4" s="1"/>
  <c r="AK339" i="4"/>
  <c r="AJ339" i="4"/>
  <c r="AH339" i="4"/>
  <c r="AG339" i="4"/>
  <c r="AF339" i="4"/>
  <c r="AE339" i="4"/>
  <c r="AD339" i="4"/>
  <c r="AC339" i="4"/>
  <c r="AB339" i="4"/>
  <c r="J339" i="4"/>
  <c r="AL339" i="4" s="1"/>
  <c r="I339" i="4"/>
  <c r="BJ338" i="4"/>
  <c r="BF338" i="4"/>
  <c r="BD338" i="4"/>
  <c r="AX338" i="4"/>
  <c r="AP338" i="4"/>
  <c r="I338" i="4" s="1"/>
  <c r="AO338" i="4"/>
  <c r="AW338" i="4" s="1"/>
  <c r="AL338" i="4"/>
  <c r="AK338" i="4"/>
  <c r="AJ338" i="4"/>
  <c r="AH338" i="4"/>
  <c r="AG338" i="4"/>
  <c r="AF338" i="4"/>
  <c r="AE338" i="4"/>
  <c r="AD338" i="4"/>
  <c r="AC338" i="4"/>
  <c r="AB338" i="4"/>
  <c r="Z338" i="4"/>
  <c r="J338" i="4"/>
  <c r="BJ337" i="4"/>
  <c r="Z337" i="4" s="1"/>
  <c r="BF337" i="4"/>
  <c r="BD337" i="4"/>
  <c r="AP337" i="4"/>
  <c r="AX337" i="4" s="1"/>
  <c r="AO337" i="4"/>
  <c r="BH337" i="4" s="1"/>
  <c r="AL337" i="4"/>
  <c r="AK337" i="4"/>
  <c r="AJ337" i="4"/>
  <c r="AH337" i="4"/>
  <c r="AG337" i="4"/>
  <c r="AF337" i="4"/>
  <c r="AE337" i="4"/>
  <c r="AD337" i="4"/>
  <c r="AC337" i="4"/>
  <c r="AB337" i="4"/>
  <c r="J337" i="4"/>
  <c r="BJ336" i="4"/>
  <c r="Z336" i="4" s="1"/>
  <c r="BF336" i="4"/>
  <c r="BD336" i="4"/>
  <c r="AP336" i="4"/>
  <c r="BI336" i="4" s="1"/>
  <c r="AO336" i="4"/>
  <c r="AL336" i="4"/>
  <c r="AK336" i="4"/>
  <c r="AJ336" i="4"/>
  <c r="AH336" i="4"/>
  <c r="AG336" i="4"/>
  <c r="AF336" i="4"/>
  <c r="AE336" i="4"/>
  <c r="AD336" i="4"/>
  <c r="AC336" i="4"/>
  <c r="AB336" i="4"/>
  <c r="J336" i="4"/>
  <c r="BJ335" i="4"/>
  <c r="Z335" i="4" s="1"/>
  <c r="BI335" i="4"/>
  <c r="BF335" i="4"/>
  <c r="BD335" i="4"/>
  <c r="AP335" i="4"/>
  <c r="AO335" i="4"/>
  <c r="BH335" i="4" s="1"/>
  <c r="AL335" i="4"/>
  <c r="AK335" i="4"/>
  <c r="AJ335" i="4"/>
  <c r="AH335" i="4"/>
  <c r="AG335" i="4"/>
  <c r="AF335" i="4"/>
  <c r="AE335" i="4"/>
  <c r="AD335" i="4"/>
  <c r="AC335" i="4"/>
  <c r="AB335" i="4"/>
  <c r="J335" i="4"/>
  <c r="H335" i="4"/>
  <c r="BJ334" i="4"/>
  <c r="BF334" i="4"/>
  <c r="BD334" i="4"/>
  <c r="AW334" i="4"/>
  <c r="AP334" i="4"/>
  <c r="BI334" i="4" s="1"/>
  <c r="AC334" i="4" s="1"/>
  <c r="AO334" i="4"/>
  <c r="BH334" i="4" s="1"/>
  <c r="AB334" i="4" s="1"/>
  <c r="AK334" i="4"/>
  <c r="AJ334" i="4"/>
  <c r="AH334" i="4"/>
  <c r="AG334" i="4"/>
  <c r="AF334" i="4"/>
  <c r="AE334" i="4"/>
  <c r="AD334" i="4"/>
  <c r="Z334" i="4"/>
  <c r="J334" i="4"/>
  <c r="AL334" i="4" s="1"/>
  <c r="H334" i="4"/>
  <c r="BJ333" i="4"/>
  <c r="Z333" i="4" s="1"/>
  <c r="BF333" i="4"/>
  <c r="BD333" i="4"/>
  <c r="AX333" i="4"/>
  <c r="AW333" i="4"/>
  <c r="AP333" i="4"/>
  <c r="BI333" i="4" s="1"/>
  <c r="AO333" i="4"/>
  <c r="BH333" i="4" s="1"/>
  <c r="AK333" i="4"/>
  <c r="AJ333" i="4"/>
  <c r="AH333" i="4"/>
  <c r="AG333" i="4"/>
  <c r="AF333" i="4"/>
  <c r="AE333" i="4"/>
  <c r="AD333" i="4"/>
  <c r="AC333" i="4"/>
  <c r="AB333" i="4"/>
  <c r="J333" i="4"/>
  <c r="AL333" i="4" s="1"/>
  <c r="I333" i="4"/>
  <c r="H333" i="4"/>
  <c r="BJ332" i="4"/>
  <c r="BF332" i="4"/>
  <c r="BD332" i="4"/>
  <c r="AP332" i="4"/>
  <c r="BI332" i="4" s="1"/>
  <c r="AC332" i="4" s="1"/>
  <c r="AO332" i="4"/>
  <c r="BH332" i="4" s="1"/>
  <c r="AB332" i="4" s="1"/>
  <c r="AK332" i="4"/>
  <c r="AJ332" i="4"/>
  <c r="AH332" i="4"/>
  <c r="AG332" i="4"/>
  <c r="AF332" i="4"/>
  <c r="AE332" i="4"/>
  <c r="AD332" i="4"/>
  <c r="Z332" i="4"/>
  <c r="J332" i="4"/>
  <c r="AL332" i="4" s="1"/>
  <c r="H332" i="4"/>
  <c r="BJ331" i="4"/>
  <c r="BF331" i="4"/>
  <c r="BD331" i="4"/>
  <c r="AX331" i="4"/>
  <c r="AP331" i="4"/>
  <c r="BI331" i="4" s="1"/>
  <c r="AC331" i="4" s="1"/>
  <c r="AO331" i="4"/>
  <c r="BH331" i="4" s="1"/>
  <c r="AB331" i="4" s="1"/>
  <c r="AK331" i="4"/>
  <c r="AJ331" i="4"/>
  <c r="AH331" i="4"/>
  <c r="AG331" i="4"/>
  <c r="AF331" i="4"/>
  <c r="AE331" i="4"/>
  <c r="AD331" i="4"/>
  <c r="Z331" i="4"/>
  <c r="J331" i="4"/>
  <c r="AL331" i="4" s="1"/>
  <c r="I331" i="4"/>
  <c r="H331" i="4"/>
  <c r="BJ330" i="4"/>
  <c r="BF330" i="4"/>
  <c r="BD330" i="4"/>
  <c r="AX330" i="4"/>
  <c r="AP330" i="4"/>
  <c r="BI330" i="4" s="1"/>
  <c r="AC330" i="4" s="1"/>
  <c r="AO330" i="4"/>
  <c r="AW330" i="4" s="1"/>
  <c r="AL330" i="4"/>
  <c r="AK330" i="4"/>
  <c r="AJ330" i="4"/>
  <c r="AH330" i="4"/>
  <c r="AG330" i="4"/>
  <c r="AF330" i="4"/>
  <c r="AE330" i="4"/>
  <c r="AD330" i="4"/>
  <c r="Z330" i="4"/>
  <c r="J330" i="4"/>
  <c r="I330" i="4"/>
  <c r="BJ329" i="4"/>
  <c r="BH329" i="4"/>
  <c r="AB329" i="4" s="1"/>
  <c r="BF329" i="4"/>
  <c r="BD329" i="4"/>
  <c r="AP329" i="4"/>
  <c r="AX329" i="4" s="1"/>
  <c r="AO329" i="4"/>
  <c r="AL329" i="4"/>
  <c r="AK329" i="4"/>
  <c r="AJ329" i="4"/>
  <c r="AH329" i="4"/>
  <c r="AG329" i="4"/>
  <c r="AF329" i="4"/>
  <c r="AE329" i="4"/>
  <c r="AD329" i="4"/>
  <c r="Z329" i="4"/>
  <c r="J329" i="4"/>
  <c r="BJ328" i="4"/>
  <c r="BF328" i="4"/>
  <c r="BD328" i="4"/>
  <c r="AP328" i="4"/>
  <c r="BI328" i="4" s="1"/>
  <c r="AC328" i="4" s="1"/>
  <c r="AO328" i="4"/>
  <c r="BH328" i="4" s="1"/>
  <c r="AB328" i="4" s="1"/>
  <c r="AL328" i="4"/>
  <c r="AK328" i="4"/>
  <c r="AJ328" i="4"/>
  <c r="AH328" i="4"/>
  <c r="AG328" i="4"/>
  <c r="AF328" i="4"/>
  <c r="AE328" i="4"/>
  <c r="AD328" i="4"/>
  <c r="Z328" i="4"/>
  <c r="J328" i="4"/>
  <c r="BJ327" i="4"/>
  <c r="BF327" i="4"/>
  <c r="BD327" i="4"/>
  <c r="AP327" i="4"/>
  <c r="BI327" i="4" s="1"/>
  <c r="AC327" i="4" s="1"/>
  <c r="AO327" i="4"/>
  <c r="BH327" i="4" s="1"/>
  <c r="AB327" i="4" s="1"/>
  <c r="AL327" i="4"/>
  <c r="AK327" i="4"/>
  <c r="AJ327" i="4"/>
  <c r="AH327" i="4"/>
  <c r="AG327" i="4"/>
  <c r="AF327" i="4"/>
  <c r="AE327" i="4"/>
  <c r="AD327" i="4"/>
  <c r="Z327" i="4"/>
  <c r="J327" i="4"/>
  <c r="H327" i="4"/>
  <c r="BJ326" i="4"/>
  <c r="BF326" i="4"/>
  <c r="BD326" i="4"/>
  <c r="AW326" i="4"/>
  <c r="AP326" i="4"/>
  <c r="BI326" i="4" s="1"/>
  <c r="AC326" i="4" s="1"/>
  <c r="AO326" i="4"/>
  <c r="BH326" i="4" s="1"/>
  <c r="AB326" i="4" s="1"/>
  <c r="AK326" i="4"/>
  <c r="AJ326" i="4"/>
  <c r="AH326" i="4"/>
  <c r="AG326" i="4"/>
  <c r="AF326" i="4"/>
  <c r="AE326" i="4"/>
  <c r="AD326" i="4"/>
  <c r="Z326" i="4"/>
  <c r="J326" i="4"/>
  <c r="AL326" i="4" s="1"/>
  <c r="H326" i="4"/>
  <c r="BJ325" i="4"/>
  <c r="BF325" i="4"/>
  <c r="BD325" i="4"/>
  <c r="AP325" i="4"/>
  <c r="BI325" i="4" s="1"/>
  <c r="AC325" i="4" s="1"/>
  <c r="AO325" i="4"/>
  <c r="BH325" i="4" s="1"/>
  <c r="AB325" i="4" s="1"/>
  <c r="AK325" i="4"/>
  <c r="AJ325" i="4"/>
  <c r="AH325" i="4"/>
  <c r="AG325" i="4"/>
  <c r="AF325" i="4"/>
  <c r="AE325" i="4"/>
  <c r="AD325" i="4"/>
  <c r="Z325" i="4"/>
  <c r="J325" i="4"/>
  <c r="AL325" i="4" s="1"/>
  <c r="H325" i="4"/>
  <c r="BJ324" i="4"/>
  <c r="Z324" i="4" s="1"/>
  <c r="BF324" i="4"/>
  <c r="BD324" i="4"/>
  <c r="AW324" i="4"/>
  <c r="AP324" i="4"/>
  <c r="BI324" i="4" s="1"/>
  <c r="AO324" i="4"/>
  <c r="BH324" i="4" s="1"/>
  <c r="AK324" i="4"/>
  <c r="AJ324" i="4"/>
  <c r="AH324" i="4"/>
  <c r="AG324" i="4"/>
  <c r="AF324" i="4"/>
  <c r="AE324" i="4"/>
  <c r="AD324" i="4"/>
  <c r="AC324" i="4"/>
  <c r="AB324" i="4"/>
  <c r="J324" i="4"/>
  <c r="AL324" i="4" s="1"/>
  <c r="H324" i="4"/>
  <c r="BJ323" i="4"/>
  <c r="BF323" i="4"/>
  <c r="BD323" i="4"/>
  <c r="AW323" i="4"/>
  <c r="AP323" i="4"/>
  <c r="BI323" i="4" s="1"/>
  <c r="AC323" i="4" s="1"/>
  <c r="AO323" i="4"/>
  <c r="BH323" i="4" s="1"/>
  <c r="AK323" i="4"/>
  <c r="AJ323" i="4"/>
  <c r="AH323" i="4"/>
  <c r="AG323" i="4"/>
  <c r="AF323" i="4"/>
  <c r="AE323" i="4"/>
  <c r="AD323" i="4"/>
  <c r="AB323" i="4"/>
  <c r="Z323" i="4"/>
  <c r="J323" i="4"/>
  <c r="AL323" i="4" s="1"/>
  <c r="I323" i="4"/>
  <c r="H323" i="4"/>
  <c r="BJ322" i="4"/>
  <c r="BF322" i="4"/>
  <c r="BD322" i="4"/>
  <c r="AX322" i="4"/>
  <c r="BC322" i="4" s="1"/>
  <c r="AW322" i="4"/>
  <c r="AP322" i="4"/>
  <c r="BI322" i="4" s="1"/>
  <c r="AC322" i="4" s="1"/>
  <c r="AO322" i="4"/>
  <c r="BH322" i="4" s="1"/>
  <c r="AB322" i="4" s="1"/>
  <c r="AL322" i="4"/>
  <c r="AK322" i="4"/>
  <c r="AJ322" i="4"/>
  <c r="AH322" i="4"/>
  <c r="AG322" i="4"/>
  <c r="AF322" i="4"/>
  <c r="AE322" i="4"/>
  <c r="AD322" i="4"/>
  <c r="Z322" i="4"/>
  <c r="J322" i="4"/>
  <c r="I322" i="4"/>
  <c r="H322" i="4"/>
  <c r="BJ321" i="4"/>
  <c r="BH321" i="4"/>
  <c r="AB321" i="4" s="1"/>
  <c r="BF321" i="4"/>
  <c r="BD321" i="4"/>
  <c r="AP321" i="4"/>
  <c r="BI321" i="4" s="1"/>
  <c r="AC321" i="4" s="1"/>
  <c r="AO321" i="4"/>
  <c r="AL321" i="4"/>
  <c r="AK321" i="4"/>
  <c r="AJ321" i="4"/>
  <c r="AH321" i="4"/>
  <c r="AG321" i="4"/>
  <c r="AF321" i="4"/>
  <c r="AE321" i="4"/>
  <c r="AD321" i="4"/>
  <c r="Z321" i="4"/>
  <c r="J321" i="4"/>
  <c r="I321" i="4"/>
  <c r="BJ320" i="4"/>
  <c r="BF320" i="4"/>
  <c r="BD320" i="4"/>
  <c r="AP320" i="4"/>
  <c r="BI320" i="4" s="1"/>
  <c r="AO320" i="4"/>
  <c r="BH320" i="4" s="1"/>
  <c r="AL320" i="4"/>
  <c r="AK320" i="4"/>
  <c r="AJ320" i="4"/>
  <c r="AH320" i="4"/>
  <c r="AG320" i="4"/>
  <c r="AF320" i="4"/>
  <c r="AE320" i="4"/>
  <c r="AD320" i="4"/>
  <c r="AC320" i="4"/>
  <c r="AB320" i="4"/>
  <c r="Z320" i="4"/>
  <c r="J320" i="4"/>
  <c r="BJ319" i="4"/>
  <c r="BF319" i="4"/>
  <c r="BD319" i="4"/>
  <c r="AP319" i="4"/>
  <c r="BI319" i="4" s="1"/>
  <c r="AC319" i="4" s="1"/>
  <c r="AO319" i="4"/>
  <c r="BH319" i="4" s="1"/>
  <c r="AB319" i="4" s="1"/>
  <c r="AK319" i="4"/>
  <c r="AJ319" i="4"/>
  <c r="AH319" i="4"/>
  <c r="AG319" i="4"/>
  <c r="AF319" i="4"/>
  <c r="AE319" i="4"/>
  <c r="AD319" i="4"/>
  <c r="Z319" i="4"/>
  <c r="J319" i="4"/>
  <c r="AL319" i="4" s="1"/>
  <c r="H319" i="4"/>
  <c r="BJ318" i="4"/>
  <c r="BF318" i="4"/>
  <c r="BD318" i="4"/>
  <c r="AP318" i="4"/>
  <c r="BI318" i="4" s="1"/>
  <c r="AC318" i="4" s="1"/>
  <c r="AO318" i="4"/>
  <c r="BH318" i="4" s="1"/>
  <c r="AB318" i="4" s="1"/>
  <c r="AL318" i="4"/>
  <c r="AK318" i="4"/>
  <c r="AJ318" i="4"/>
  <c r="AH318" i="4"/>
  <c r="AG318" i="4"/>
  <c r="AF318" i="4"/>
  <c r="AE318" i="4"/>
  <c r="AD318" i="4"/>
  <c r="Z318" i="4"/>
  <c r="J318" i="4"/>
  <c r="I318" i="4"/>
  <c r="H318" i="4"/>
  <c r="BJ317" i="4"/>
  <c r="BF317" i="4"/>
  <c r="BD317" i="4"/>
  <c r="AW317" i="4"/>
  <c r="AP317" i="4"/>
  <c r="BI317" i="4" s="1"/>
  <c r="AC317" i="4" s="1"/>
  <c r="AO317" i="4"/>
  <c r="BH317" i="4" s="1"/>
  <c r="AB317" i="4" s="1"/>
  <c r="AK317" i="4"/>
  <c r="AJ317" i="4"/>
  <c r="AH317" i="4"/>
  <c r="AG317" i="4"/>
  <c r="AF317" i="4"/>
  <c r="AE317" i="4"/>
  <c r="AD317" i="4"/>
  <c r="Z317" i="4"/>
  <c r="J317" i="4"/>
  <c r="AL317" i="4" s="1"/>
  <c r="H317" i="4"/>
  <c r="BJ316" i="4"/>
  <c r="BF316" i="4"/>
  <c r="BD316" i="4"/>
  <c r="AW316" i="4"/>
  <c r="AP316" i="4"/>
  <c r="BI316" i="4" s="1"/>
  <c r="AC316" i="4" s="1"/>
  <c r="AO316" i="4"/>
  <c r="BH316" i="4" s="1"/>
  <c r="AB316" i="4" s="1"/>
  <c r="AK316" i="4"/>
  <c r="AJ316" i="4"/>
  <c r="AH316" i="4"/>
  <c r="AG316" i="4"/>
  <c r="AF316" i="4"/>
  <c r="AE316" i="4"/>
  <c r="AD316" i="4"/>
  <c r="Z316" i="4"/>
  <c r="J316" i="4"/>
  <c r="AL316" i="4" s="1"/>
  <c r="I316" i="4"/>
  <c r="BJ315" i="4"/>
  <c r="BF315" i="4"/>
  <c r="BD315" i="4"/>
  <c r="AX315" i="4"/>
  <c r="AW315" i="4"/>
  <c r="BC315" i="4" s="1"/>
  <c r="AP315" i="4"/>
  <c r="BI315" i="4" s="1"/>
  <c r="AC315" i="4" s="1"/>
  <c r="AO315" i="4"/>
  <c r="BH315" i="4" s="1"/>
  <c r="AK315" i="4"/>
  <c r="AJ315" i="4"/>
  <c r="AH315" i="4"/>
  <c r="AG315" i="4"/>
  <c r="AF315" i="4"/>
  <c r="AE315" i="4"/>
  <c r="AD315" i="4"/>
  <c r="AB315" i="4"/>
  <c r="Z315" i="4"/>
  <c r="J315" i="4"/>
  <c r="AL315" i="4" s="1"/>
  <c r="I315" i="4"/>
  <c r="H315" i="4"/>
  <c r="BJ314" i="4"/>
  <c r="BF314" i="4"/>
  <c r="BD314" i="4"/>
  <c r="AP314" i="4"/>
  <c r="BI314" i="4" s="1"/>
  <c r="AC314" i="4" s="1"/>
  <c r="AO314" i="4"/>
  <c r="BH314" i="4" s="1"/>
  <c r="AB314" i="4" s="1"/>
  <c r="AK314" i="4"/>
  <c r="AJ314" i="4"/>
  <c r="AH314" i="4"/>
  <c r="AG314" i="4"/>
  <c r="AF314" i="4"/>
  <c r="AE314" i="4"/>
  <c r="AD314" i="4"/>
  <c r="Z314" i="4"/>
  <c r="J314" i="4"/>
  <c r="AL314" i="4" s="1"/>
  <c r="I314" i="4"/>
  <c r="BJ313" i="4"/>
  <c r="Z313" i="4" s="1"/>
  <c r="BF313" i="4"/>
  <c r="BD313" i="4"/>
  <c r="AX313" i="4"/>
  <c r="AP313" i="4"/>
  <c r="BI313" i="4" s="1"/>
  <c r="AO313" i="4"/>
  <c r="BH313" i="4" s="1"/>
  <c r="AK313" i="4"/>
  <c r="AJ313" i="4"/>
  <c r="AH313" i="4"/>
  <c r="AG313" i="4"/>
  <c r="AF313" i="4"/>
  <c r="AE313" i="4"/>
  <c r="AD313" i="4"/>
  <c r="AC313" i="4"/>
  <c r="AB313" i="4"/>
  <c r="J313" i="4"/>
  <c r="AL313" i="4" s="1"/>
  <c r="I313" i="4"/>
  <c r="BJ312" i="4"/>
  <c r="BF312" i="4"/>
  <c r="BD312" i="4"/>
  <c r="AP312" i="4"/>
  <c r="AO312" i="4"/>
  <c r="BH312" i="4" s="1"/>
  <c r="AB312" i="4" s="1"/>
  <c r="AK312" i="4"/>
  <c r="AJ312" i="4"/>
  <c r="AH312" i="4"/>
  <c r="AG312" i="4"/>
  <c r="AF312" i="4"/>
  <c r="AE312" i="4"/>
  <c r="AD312" i="4"/>
  <c r="Z312" i="4"/>
  <c r="J312" i="4"/>
  <c r="AL312" i="4" s="1"/>
  <c r="BJ311" i="4"/>
  <c r="BI311" i="4"/>
  <c r="AC311" i="4" s="1"/>
  <c r="BF311" i="4"/>
  <c r="BD311" i="4"/>
  <c r="AP311" i="4"/>
  <c r="AO311" i="4"/>
  <c r="AW311" i="4" s="1"/>
  <c r="AL311" i="4"/>
  <c r="AK311" i="4"/>
  <c r="AJ311" i="4"/>
  <c r="AH311" i="4"/>
  <c r="AG311" i="4"/>
  <c r="AF311" i="4"/>
  <c r="AE311" i="4"/>
  <c r="AD311" i="4"/>
  <c r="Z311" i="4"/>
  <c r="J311" i="4"/>
  <c r="BJ310" i="4"/>
  <c r="BF310" i="4"/>
  <c r="BD310" i="4"/>
  <c r="AP310" i="4"/>
  <c r="AX310" i="4" s="1"/>
  <c r="AO310" i="4"/>
  <c r="BH310" i="4" s="1"/>
  <c r="AB310" i="4" s="1"/>
  <c r="AK310" i="4"/>
  <c r="AJ310" i="4"/>
  <c r="AH310" i="4"/>
  <c r="AG310" i="4"/>
  <c r="AF310" i="4"/>
  <c r="AE310" i="4"/>
  <c r="AD310" i="4"/>
  <c r="Z310" i="4"/>
  <c r="J310" i="4"/>
  <c r="AL310" i="4" s="1"/>
  <c r="I310" i="4"/>
  <c r="BJ309" i="4"/>
  <c r="BI309" i="4"/>
  <c r="AC309" i="4" s="1"/>
  <c r="BF309" i="4"/>
  <c r="BD309" i="4"/>
  <c r="AX309" i="4"/>
  <c r="AW309" i="4"/>
  <c r="AV309" i="4" s="1"/>
  <c r="AP309" i="4"/>
  <c r="I309" i="4" s="1"/>
  <c r="AO309" i="4"/>
  <c r="BH309" i="4" s="1"/>
  <c r="AB309" i="4" s="1"/>
  <c r="AK309" i="4"/>
  <c r="AJ309" i="4"/>
  <c r="AH309" i="4"/>
  <c r="AG309" i="4"/>
  <c r="AF309" i="4"/>
  <c r="AE309" i="4"/>
  <c r="AD309" i="4"/>
  <c r="Z309" i="4"/>
  <c r="J309" i="4"/>
  <c r="AL309" i="4" s="1"/>
  <c r="BJ308" i="4"/>
  <c r="BF308" i="4"/>
  <c r="BD308" i="4"/>
  <c r="AX308" i="4"/>
  <c r="AP308" i="4"/>
  <c r="BI308" i="4" s="1"/>
  <c r="AC308" i="4" s="1"/>
  <c r="AO308" i="4"/>
  <c r="BH308" i="4" s="1"/>
  <c r="AB308" i="4" s="1"/>
  <c r="AK308" i="4"/>
  <c r="AJ308" i="4"/>
  <c r="AH308" i="4"/>
  <c r="AG308" i="4"/>
  <c r="AF308" i="4"/>
  <c r="AE308" i="4"/>
  <c r="AD308" i="4"/>
  <c r="Z308" i="4"/>
  <c r="J308" i="4"/>
  <c r="AL308" i="4" s="1"/>
  <c r="I308" i="4"/>
  <c r="BJ307" i="4"/>
  <c r="BF307" i="4"/>
  <c r="BD307" i="4"/>
  <c r="AW307" i="4"/>
  <c r="AP307" i="4"/>
  <c r="BI307" i="4" s="1"/>
  <c r="AC307" i="4" s="1"/>
  <c r="AO307" i="4"/>
  <c r="BH307" i="4" s="1"/>
  <c r="AK307" i="4"/>
  <c r="AJ307" i="4"/>
  <c r="AH307" i="4"/>
  <c r="AG307" i="4"/>
  <c r="AF307" i="4"/>
  <c r="AE307" i="4"/>
  <c r="AD307" i="4"/>
  <c r="AB307" i="4"/>
  <c r="Z307" i="4"/>
  <c r="J307" i="4"/>
  <c r="AL307" i="4" s="1"/>
  <c r="I307" i="4"/>
  <c r="H307" i="4"/>
  <c r="BJ306" i="4"/>
  <c r="BF306" i="4"/>
  <c r="BD306" i="4"/>
  <c r="AW306" i="4"/>
  <c r="AP306" i="4"/>
  <c r="BI306" i="4" s="1"/>
  <c r="AC306" i="4" s="1"/>
  <c r="AO306" i="4"/>
  <c r="BH306" i="4" s="1"/>
  <c r="AB306" i="4" s="1"/>
  <c r="AL306" i="4"/>
  <c r="AK306" i="4"/>
  <c r="AJ306" i="4"/>
  <c r="AH306" i="4"/>
  <c r="AG306" i="4"/>
  <c r="AF306" i="4"/>
  <c r="AE306" i="4"/>
  <c r="AD306" i="4"/>
  <c r="Z306" i="4"/>
  <c r="J306" i="4"/>
  <c r="I306" i="4"/>
  <c r="H306" i="4"/>
  <c r="BJ305" i="4"/>
  <c r="BF305" i="4"/>
  <c r="BD305" i="4"/>
  <c r="AP305" i="4"/>
  <c r="BI305" i="4" s="1"/>
  <c r="AC305" i="4" s="1"/>
  <c r="AO305" i="4"/>
  <c r="BH305" i="4" s="1"/>
  <c r="AB305" i="4" s="1"/>
  <c r="AK305" i="4"/>
  <c r="AJ305" i="4"/>
  <c r="AH305" i="4"/>
  <c r="AG305" i="4"/>
  <c r="AF305" i="4"/>
  <c r="AE305" i="4"/>
  <c r="AD305" i="4"/>
  <c r="Z305" i="4"/>
  <c r="J305" i="4"/>
  <c r="AL305" i="4" s="1"/>
  <c r="BJ304" i="4"/>
  <c r="BH304" i="4"/>
  <c r="BF304" i="4"/>
  <c r="BD304" i="4"/>
  <c r="AP304" i="4"/>
  <c r="BI304" i="4" s="1"/>
  <c r="AO304" i="4"/>
  <c r="AK304" i="4"/>
  <c r="AJ304" i="4"/>
  <c r="AH304" i="4"/>
  <c r="AG304" i="4"/>
  <c r="AF304" i="4"/>
  <c r="AE304" i="4"/>
  <c r="AD304" i="4"/>
  <c r="AC304" i="4"/>
  <c r="AB304" i="4"/>
  <c r="Z304" i="4"/>
  <c r="J304" i="4"/>
  <c r="AL304" i="4" s="1"/>
  <c r="BJ303" i="4"/>
  <c r="BF303" i="4"/>
  <c r="BD303" i="4"/>
  <c r="AP303" i="4"/>
  <c r="BI303" i="4" s="1"/>
  <c r="AC303" i="4" s="1"/>
  <c r="AO303" i="4"/>
  <c r="AW303" i="4" s="1"/>
  <c r="AK303" i="4"/>
  <c r="AJ303" i="4"/>
  <c r="AH303" i="4"/>
  <c r="AG303" i="4"/>
  <c r="AF303" i="4"/>
  <c r="AE303" i="4"/>
  <c r="AD303" i="4"/>
  <c r="Z303" i="4"/>
  <c r="J303" i="4"/>
  <c r="AL303" i="4" s="1"/>
  <c r="BJ302" i="4"/>
  <c r="BF302" i="4"/>
  <c r="BD302" i="4"/>
  <c r="AP302" i="4"/>
  <c r="AX302" i="4" s="1"/>
  <c r="AO302" i="4"/>
  <c r="AL302" i="4"/>
  <c r="AK302" i="4"/>
  <c r="AJ302" i="4"/>
  <c r="AH302" i="4"/>
  <c r="AG302" i="4"/>
  <c r="AF302" i="4"/>
  <c r="AE302" i="4"/>
  <c r="AD302" i="4"/>
  <c r="Z302" i="4"/>
  <c r="J302" i="4"/>
  <c r="I302" i="4"/>
  <c r="BJ301" i="4"/>
  <c r="BF301" i="4"/>
  <c r="BD301" i="4"/>
  <c r="AP301" i="4"/>
  <c r="I301" i="4" s="1"/>
  <c r="AO301" i="4"/>
  <c r="BH301" i="4" s="1"/>
  <c r="AB301" i="4" s="1"/>
  <c r="AK301" i="4"/>
  <c r="AJ301" i="4"/>
  <c r="AH301" i="4"/>
  <c r="AG301" i="4"/>
  <c r="AF301" i="4"/>
  <c r="AE301" i="4"/>
  <c r="AD301" i="4"/>
  <c r="Z301" i="4"/>
  <c r="J301" i="4"/>
  <c r="AL301" i="4" s="1"/>
  <c r="BJ300" i="4"/>
  <c r="BF300" i="4"/>
  <c r="BD300" i="4"/>
  <c r="AX300" i="4"/>
  <c r="BC300" i="4" s="1"/>
  <c r="AW300" i="4"/>
  <c r="AP300" i="4"/>
  <c r="BI300" i="4" s="1"/>
  <c r="AC300" i="4" s="1"/>
  <c r="AO300" i="4"/>
  <c r="BH300" i="4" s="1"/>
  <c r="AB300" i="4" s="1"/>
  <c r="AK300" i="4"/>
  <c r="AJ300" i="4"/>
  <c r="AH300" i="4"/>
  <c r="AG300" i="4"/>
  <c r="AF300" i="4"/>
  <c r="AE300" i="4"/>
  <c r="AD300" i="4"/>
  <c r="Z300" i="4"/>
  <c r="J300" i="4"/>
  <c r="AL300" i="4" s="1"/>
  <c r="H300" i="4"/>
  <c r="BJ299" i="4"/>
  <c r="BF299" i="4"/>
  <c r="BD299" i="4"/>
  <c r="AX299" i="4"/>
  <c r="AW299" i="4"/>
  <c r="AP299" i="4"/>
  <c r="BI299" i="4" s="1"/>
  <c r="AC299" i="4" s="1"/>
  <c r="AO299" i="4"/>
  <c r="BH299" i="4" s="1"/>
  <c r="AK299" i="4"/>
  <c r="AJ299" i="4"/>
  <c r="AH299" i="4"/>
  <c r="AG299" i="4"/>
  <c r="AF299" i="4"/>
  <c r="AE299" i="4"/>
  <c r="AD299" i="4"/>
  <c r="AB299" i="4"/>
  <c r="Z299" i="4"/>
  <c r="J299" i="4"/>
  <c r="AL299" i="4" s="1"/>
  <c r="I299" i="4"/>
  <c r="H299" i="4"/>
  <c r="BJ298" i="4"/>
  <c r="BF298" i="4"/>
  <c r="BD298" i="4"/>
  <c r="AP298" i="4"/>
  <c r="BI298" i="4" s="1"/>
  <c r="AC298" i="4" s="1"/>
  <c r="AO298" i="4"/>
  <c r="BH298" i="4" s="1"/>
  <c r="AB298" i="4" s="1"/>
  <c r="AK298" i="4"/>
  <c r="AJ298" i="4"/>
  <c r="AH298" i="4"/>
  <c r="AG298" i="4"/>
  <c r="AF298" i="4"/>
  <c r="AE298" i="4"/>
  <c r="AD298" i="4"/>
  <c r="Z298" i="4"/>
  <c r="J298" i="4"/>
  <c r="AL298" i="4" s="1"/>
  <c r="H298" i="4"/>
  <c r="BJ297" i="4"/>
  <c r="BF297" i="4"/>
  <c r="BD297" i="4"/>
  <c r="AX297" i="4"/>
  <c r="AP297" i="4"/>
  <c r="BI297" i="4" s="1"/>
  <c r="AC297" i="4" s="1"/>
  <c r="AO297" i="4"/>
  <c r="H297" i="4" s="1"/>
  <c r="AK297" i="4"/>
  <c r="AT295" i="4" s="1"/>
  <c r="AJ297" i="4"/>
  <c r="AH297" i="4"/>
  <c r="AG297" i="4"/>
  <c r="AF297" i="4"/>
  <c r="AE297" i="4"/>
  <c r="AD297" i="4"/>
  <c r="Z297" i="4"/>
  <c r="J297" i="4"/>
  <c r="AL297" i="4" s="1"/>
  <c r="I297" i="4"/>
  <c r="BJ296" i="4"/>
  <c r="BI296" i="4"/>
  <c r="AC296" i="4" s="1"/>
  <c r="BF296" i="4"/>
  <c r="BD296" i="4"/>
  <c r="AX296" i="4"/>
  <c r="AP296" i="4"/>
  <c r="I296" i="4" s="1"/>
  <c r="AO296" i="4"/>
  <c r="BH296" i="4" s="1"/>
  <c r="AB296" i="4" s="1"/>
  <c r="AL296" i="4"/>
  <c r="AK296" i="4"/>
  <c r="AJ296" i="4"/>
  <c r="AH296" i="4"/>
  <c r="AG296" i="4"/>
  <c r="AF296" i="4"/>
  <c r="AE296" i="4"/>
  <c r="AD296" i="4"/>
  <c r="Z296" i="4"/>
  <c r="J296" i="4"/>
  <c r="BJ294" i="4"/>
  <c r="Z294" i="4" s="1"/>
  <c r="BF294" i="4"/>
  <c r="BD294" i="4"/>
  <c r="AX294" i="4"/>
  <c r="AP294" i="4"/>
  <c r="BI294" i="4" s="1"/>
  <c r="AO294" i="4"/>
  <c r="H294" i="4" s="1"/>
  <c r="AK294" i="4"/>
  <c r="AJ294" i="4"/>
  <c r="AH294" i="4"/>
  <c r="AG294" i="4"/>
  <c r="AF294" i="4"/>
  <c r="AE294" i="4"/>
  <c r="AD294" i="4"/>
  <c r="AC294" i="4"/>
  <c r="AB294" i="4"/>
  <c r="J294" i="4"/>
  <c r="AL294" i="4" s="1"/>
  <c r="I294" i="4"/>
  <c r="BJ293" i="4"/>
  <c r="BF293" i="4"/>
  <c r="BD293" i="4"/>
  <c r="AP293" i="4"/>
  <c r="I293" i="4" s="1"/>
  <c r="AO293" i="4"/>
  <c r="AK293" i="4"/>
  <c r="AJ293" i="4"/>
  <c r="AH293" i="4"/>
  <c r="AG293" i="4"/>
  <c r="AF293" i="4"/>
  <c r="AE293" i="4"/>
  <c r="AD293" i="4"/>
  <c r="Z293" i="4"/>
  <c r="J293" i="4"/>
  <c r="AL293" i="4" s="1"/>
  <c r="BJ292" i="4"/>
  <c r="BF292" i="4"/>
  <c r="BD292" i="4"/>
  <c r="AP292" i="4"/>
  <c r="BI292" i="4" s="1"/>
  <c r="AC292" i="4" s="1"/>
  <c r="AO292" i="4"/>
  <c r="AW292" i="4" s="1"/>
  <c r="AL292" i="4"/>
  <c r="AK292" i="4"/>
  <c r="AJ292" i="4"/>
  <c r="AH292" i="4"/>
  <c r="AG292" i="4"/>
  <c r="AF292" i="4"/>
  <c r="AE292" i="4"/>
  <c r="AD292" i="4"/>
  <c r="Z292" i="4"/>
  <c r="J292" i="4"/>
  <c r="BJ291" i="4"/>
  <c r="BF291" i="4"/>
  <c r="BD291" i="4"/>
  <c r="AW291" i="4"/>
  <c r="AP291" i="4"/>
  <c r="AX291" i="4" s="1"/>
  <c r="AO291" i="4"/>
  <c r="H291" i="4" s="1"/>
  <c r="AK291" i="4"/>
  <c r="AJ291" i="4"/>
  <c r="AH291" i="4"/>
  <c r="AG291" i="4"/>
  <c r="AF291" i="4"/>
  <c r="AE291" i="4"/>
  <c r="AD291" i="4"/>
  <c r="Z291" i="4"/>
  <c r="J291" i="4"/>
  <c r="AL291" i="4" s="1"/>
  <c r="BJ290" i="4"/>
  <c r="BF290" i="4"/>
  <c r="BD290" i="4"/>
  <c r="AP290" i="4"/>
  <c r="AX290" i="4" s="1"/>
  <c r="AO290" i="4"/>
  <c r="BH290" i="4" s="1"/>
  <c r="AB290" i="4" s="1"/>
  <c r="AL290" i="4"/>
  <c r="AK290" i="4"/>
  <c r="AJ290" i="4"/>
  <c r="AH290" i="4"/>
  <c r="AG290" i="4"/>
  <c r="AF290" i="4"/>
  <c r="AE290" i="4"/>
  <c r="AD290" i="4"/>
  <c r="Z290" i="4"/>
  <c r="J290" i="4"/>
  <c r="BJ289" i="4"/>
  <c r="BF289" i="4"/>
  <c r="BD289" i="4"/>
  <c r="AP289" i="4"/>
  <c r="AX289" i="4" s="1"/>
  <c r="AO289" i="4"/>
  <c r="BH289" i="4" s="1"/>
  <c r="AB289" i="4" s="1"/>
  <c r="AK289" i="4"/>
  <c r="AJ289" i="4"/>
  <c r="AH289" i="4"/>
  <c r="AG289" i="4"/>
  <c r="AF289" i="4"/>
  <c r="AE289" i="4"/>
  <c r="AD289" i="4"/>
  <c r="Z289" i="4"/>
  <c r="J289" i="4"/>
  <c r="AL289" i="4" s="1"/>
  <c r="BJ288" i="4"/>
  <c r="BI288" i="4"/>
  <c r="AC288" i="4" s="1"/>
  <c r="BF288" i="4"/>
  <c r="BD288" i="4"/>
  <c r="AW288" i="4"/>
  <c r="AP288" i="4"/>
  <c r="AX288" i="4" s="1"/>
  <c r="AO288" i="4"/>
  <c r="BH288" i="4" s="1"/>
  <c r="AK288" i="4"/>
  <c r="AJ288" i="4"/>
  <c r="AH288" i="4"/>
  <c r="AG288" i="4"/>
  <c r="AF288" i="4"/>
  <c r="AE288" i="4"/>
  <c r="AD288" i="4"/>
  <c r="AB288" i="4"/>
  <c r="Z288" i="4"/>
  <c r="J288" i="4"/>
  <c r="AL288" i="4" s="1"/>
  <c r="I288" i="4"/>
  <c r="H288" i="4"/>
  <c r="BJ287" i="4"/>
  <c r="BF287" i="4"/>
  <c r="BD287" i="4"/>
  <c r="AP287" i="4"/>
  <c r="BI287" i="4" s="1"/>
  <c r="AC287" i="4" s="1"/>
  <c r="AO287" i="4"/>
  <c r="BH287" i="4" s="1"/>
  <c r="AB287" i="4" s="1"/>
  <c r="AL287" i="4"/>
  <c r="AK287" i="4"/>
  <c r="AJ287" i="4"/>
  <c r="AH287" i="4"/>
  <c r="AG287" i="4"/>
  <c r="AF287" i="4"/>
  <c r="AE287" i="4"/>
  <c r="AD287" i="4"/>
  <c r="Z287" i="4"/>
  <c r="J287" i="4"/>
  <c r="I287" i="4"/>
  <c r="BJ286" i="4"/>
  <c r="BF286" i="4"/>
  <c r="BD286" i="4"/>
  <c r="AP286" i="4"/>
  <c r="AX286" i="4" s="1"/>
  <c r="AO286" i="4"/>
  <c r="BH286" i="4" s="1"/>
  <c r="AK286" i="4"/>
  <c r="AJ286" i="4"/>
  <c r="AH286" i="4"/>
  <c r="AG286" i="4"/>
  <c r="AF286" i="4"/>
  <c r="AE286" i="4"/>
  <c r="AD286" i="4"/>
  <c r="AB286" i="4"/>
  <c r="Z286" i="4"/>
  <c r="J286" i="4"/>
  <c r="AL286" i="4" s="1"/>
  <c r="BJ284" i="4"/>
  <c r="BF284" i="4"/>
  <c r="BD284" i="4"/>
  <c r="AP284" i="4"/>
  <c r="AX284" i="4" s="1"/>
  <c r="AO284" i="4"/>
  <c r="AW284" i="4" s="1"/>
  <c r="AL284" i="4"/>
  <c r="AK284" i="4"/>
  <c r="AJ284" i="4"/>
  <c r="AH284" i="4"/>
  <c r="AG284" i="4"/>
  <c r="AF284" i="4"/>
  <c r="AE284" i="4"/>
  <c r="AD284" i="4"/>
  <c r="Z284" i="4"/>
  <c r="J284" i="4"/>
  <c r="I284" i="4"/>
  <c r="BJ283" i="4"/>
  <c r="BF283" i="4"/>
  <c r="BD283" i="4"/>
  <c r="AW283" i="4"/>
  <c r="AP283" i="4"/>
  <c r="AX283" i="4" s="1"/>
  <c r="AO283" i="4"/>
  <c r="BH283" i="4" s="1"/>
  <c r="AK283" i="4"/>
  <c r="AJ283" i="4"/>
  <c r="AH283" i="4"/>
  <c r="AG283" i="4"/>
  <c r="AF283" i="4"/>
  <c r="AE283" i="4"/>
  <c r="AD283" i="4"/>
  <c r="AB283" i="4"/>
  <c r="Z283" i="4"/>
  <c r="J283" i="4"/>
  <c r="AL283" i="4" s="1"/>
  <c r="H283" i="4"/>
  <c r="BJ282" i="4"/>
  <c r="BF282" i="4"/>
  <c r="BD282" i="4"/>
  <c r="AX282" i="4"/>
  <c r="AP282" i="4"/>
  <c r="BI282" i="4" s="1"/>
  <c r="AC282" i="4" s="1"/>
  <c r="AO282" i="4"/>
  <c r="BH282" i="4" s="1"/>
  <c r="AB282" i="4" s="1"/>
  <c r="AL282" i="4"/>
  <c r="AK282" i="4"/>
  <c r="AJ282" i="4"/>
  <c r="AH282" i="4"/>
  <c r="AG282" i="4"/>
  <c r="AF282" i="4"/>
  <c r="AE282" i="4"/>
  <c r="AD282" i="4"/>
  <c r="Z282" i="4"/>
  <c r="J282" i="4"/>
  <c r="I282" i="4"/>
  <c r="H282" i="4"/>
  <c r="BJ281" i="4"/>
  <c r="BF281" i="4"/>
  <c r="BD281" i="4"/>
  <c r="AX281" i="4"/>
  <c r="AP281" i="4"/>
  <c r="BI281" i="4" s="1"/>
  <c r="AC281" i="4" s="1"/>
  <c r="AO281" i="4"/>
  <c r="H281" i="4" s="1"/>
  <c r="AK281" i="4"/>
  <c r="AT280" i="4" s="1"/>
  <c r="AJ281" i="4"/>
  <c r="AH281" i="4"/>
  <c r="AG281" i="4"/>
  <c r="AF281" i="4"/>
  <c r="AE281" i="4"/>
  <c r="AD281" i="4"/>
  <c r="Z281" i="4"/>
  <c r="J281" i="4"/>
  <c r="AL281" i="4" s="1"/>
  <c r="I281" i="4"/>
  <c r="J280" i="4"/>
  <c r="BJ279" i="4"/>
  <c r="BF279" i="4"/>
  <c r="BD279" i="4"/>
  <c r="BC279" i="4"/>
  <c r="AX279" i="4"/>
  <c r="AV279" i="4" s="1"/>
  <c r="AW279" i="4"/>
  <c r="AP279" i="4"/>
  <c r="BI279" i="4" s="1"/>
  <c r="AO279" i="4"/>
  <c r="BH279" i="4" s="1"/>
  <c r="AB279" i="4" s="1"/>
  <c r="AL279" i="4"/>
  <c r="AK279" i="4"/>
  <c r="AJ279" i="4"/>
  <c r="AH279" i="4"/>
  <c r="AG279" i="4"/>
  <c r="AF279" i="4"/>
  <c r="AE279" i="4"/>
  <c r="AD279" i="4"/>
  <c r="AC279" i="4"/>
  <c r="Z279" i="4"/>
  <c r="J279" i="4"/>
  <c r="I279" i="4"/>
  <c r="H279" i="4"/>
  <c r="BJ278" i="4"/>
  <c r="BF278" i="4"/>
  <c r="BD278" i="4"/>
  <c r="AX278" i="4"/>
  <c r="AP278" i="4"/>
  <c r="BI278" i="4" s="1"/>
  <c r="AC278" i="4" s="1"/>
  <c r="AO278" i="4"/>
  <c r="H278" i="4" s="1"/>
  <c r="AK278" i="4"/>
  <c r="AJ278" i="4"/>
  <c r="AH278" i="4"/>
  <c r="AG278" i="4"/>
  <c r="AF278" i="4"/>
  <c r="AE278" i="4"/>
  <c r="AD278" i="4"/>
  <c r="Z278" i="4"/>
  <c r="J278" i="4"/>
  <c r="AL278" i="4" s="1"/>
  <c r="I278" i="4"/>
  <c r="BJ277" i="4"/>
  <c r="BI277" i="4"/>
  <c r="AC277" i="4" s="1"/>
  <c r="BF277" i="4"/>
  <c r="BD277" i="4"/>
  <c r="AX277" i="4"/>
  <c r="AP277" i="4"/>
  <c r="I277" i="4" s="1"/>
  <c r="AO277" i="4"/>
  <c r="BH277" i="4" s="1"/>
  <c r="AB277" i="4" s="1"/>
  <c r="AK277" i="4"/>
  <c r="AJ277" i="4"/>
  <c r="AH277" i="4"/>
  <c r="AG277" i="4"/>
  <c r="AF277" i="4"/>
  <c r="AE277" i="4"/>
  <c r="AD277" i="4"/>
  <c r="Z277" i="4"/>
  <c r="J277" i="4"/>
  <c r="BJ276" i="4"/>
  <c r="BF276" i="4"/>
  <c r="BD276" i="4"/>
  <c r="AX276" i="4"/>
  <c r="AP276" i="4"/>
  <c r="BI276" i="4" s="1"/>
  <c r="AC276" i="4" s="1"/>
  <c r="AO276" i="4"/>
  <c r="AW276" i="4" s="1"/>
  <c r="AK276" i="4"/>
  <c r="AT275" i="4" s="1"/>
  <c r="AJ276" i="4"/>
  <c r="AH276" i="4"/>
  <c r="AG276" i="4"/>
  <c r="AF276" i="4"/>
  <c r="AE276" i="4"/>
  <c r="AD276" i="4"/>
  <c r="Z276" i="4"/>
  <c r="J276" i="4"/>
  <c r="AL276" i="4" s="1"/>
  <c r="I276" i="4"/>
  <c r="H276" i="4"/>
  <c r="I275" i="4"/>
  <c r="BJ274" i="4"/>
  <c r="BI274" i="4"/>
  <c r="AC274" i="4" s="1"/>
  <c r="BF274" i="4"/>
  <c r="BD274" i="4"/>
  <c r="AX274" i="4"/>
  <c r="AP274" i="4"/>
  <c r="I274" i="4" s="1"/>
  <c r="I273" i="4" s="1"/>
  <c r="AO274" i="4"/>
  <c r="BH274" i="4" s="1"/>
  <c r="AB274" i="4" s="1"/>
  <c r="AK274" i="4"/>
  <c r="AT273" i="4" s="1"/>
  <c r="AJ274" i="4"/>
  <c r="AS273" i="4" s="1"/>
  <c r="AH274" i="4"/>
  <c r="AG274" i="4"/>
  <c r="AF274" i="4"/>
  <c r="AE274" i="4"/>
  <c r="AD274" i="4"/>
  <c r="Z274" i="4"/>
  <c r="J274" i="4"/>
  <c r="BJ272" i="4"/>
  <c r="BF272" i="4"/>
  <c r="BD272" i="4"/>
  <c r="AX272" i="4"/>
  <c r="AP272" i="4"/>
  <c r="BI272" i="4" s="1"/>
  <c r="AO272" i="4"/>
  <c r="H272" i="4" s="1"/>
  <c r="AK272" i="4"/>
  <c r="AJ272" i="4"/>
  <c r="AH272" i="4"/>
  <c r="AG272" i="4"/>
  <c r="AF272" i="4"/>
  <c r="AE272" i="4"/>
  <c r="AD272" i="4"/>
  <c r="AC272" i="4"/>
  <c r="AB272" i="4"/>
  <c r="Z272" i="4"/>
  <c r="J272" i="4"/>
  <c r="AL272" i="4" s="1"/>
  <c r="BJ271" i="4"/>
  <c r="BF271" i="4"/>
  <c r="BD271" i="4"/>
  <c r="AW271" i="4"/>
  <c r="AP271" i="4"/>
  <c r="I271" i="4" s="1"/>
  <c r="AO271" i="4"/>
  <c r="BH271" i="4" s="1"/>
  <c r="AD271" i="4" s="1"/>
  <c r="AK271" i="4"/>
  <c r="AJ271" i="4"/>
  <c r="AH271" i="4"/>
  <c r="AG271" i="4"/>
  <c r="AF271" i="4"/>
  <c r="AC271" i="4"/>
  <c r="AB271" i="4"/>
  <c r="Z271" i="4"/>
  <c r="J271" i="4"/>
  <c r="H271" i="4"/>
  <c r="BJ270" i="4"/>
  <c r="BF270" i="4"/>
  <c r="BD270" i="4"/>
  <c r="BC270" i="4"/>
  <c r="AX270" i="4"/>
  <c r="AV270" i="4" s="1"/>
  <c r="AP270" i="4"/>
  <c r="BI270" i="4" s="1"/>
  <c r="AE270" i="4" s="1"/>
  <c r="AO270" i="4"/>
  <c r="AW270" i="4" s="1"/>
  <c r="AK270" i="4"/>
  <c r="AT269" i="4" s="1"/>
  <c r="AJ270" i="4"/>
  <c r="AH270" i="4"/>
  <c r="AG270" i="4"/>
  <c r="AF270" i="4"/>
  <c r="AC270" i="4"/>
  <c r="AB270" i="4"/>
  <c r="Z270" i="4"/>
  <c r="J270" i="4"/>
  <c r="AL270" i="4" s="1"/>
  <c r="I270" i="4"/>
  <c r="H270" i="4"/>
  <c r="BJ268" i="4"/>
  <c r="BF268" i="4"/>
  <c r="BD268" i="4"/>
  <c r="AP268" i="4"/>
  <c r="I268" i="4" s="1"/>
  <c r="I266" i="4" s="1"/>
  <c r="AO268" i="4"/>
  <c r="BH268" i="4" s="1"/>
  <c r="AK268" i="4"/>
  <c r="AJ268" i="4"/>
  <c r="AH268" i="4"/>
  <c r="AG268" i="4"/>
  <c r="AF268" i="4"/>
  <c r="AE268" i="4"/>
  <c r="AD268" i="4"/>
  <c r="AC268" i="4"/>
  <c r="AB268" i="4"/>
  <c r="Z268" i="4"/>
  <c r="J268" i="4"/>
  <c r="H268" i="4"/>
  <c r="BJ267" i="4"/>
  <c r="BF267" i="4"/>
  <c r="BD267" i="4"/>
  <c r="AX267" i="4"/>
  <c r="AP267" i="4"/>
  <c r="BI267" i="4" s="1"/>
  <c r="AE267" i="4" s="1"/>
  <c r="AO267" i="4"/>
  <c r="AW267" i="4" s="1"/>
  <c r="AV267" i="4" s="1"/>
  <c r="AL267" i="4"/>
  <c r="AK267" i="4"/>
  <c r="AT266" i="4" s="1"/>
  <c r="AJ267" i="4"/>
  <c r="AH267" i="4"/>
  <c r="AG267" i="4"/>
  <c r="AF267" i="4"/>
  <c r="AC267" i="4"/>
  <c r="AB267" i="4"/>
  <c r="Z267" i="4"/>
  <c r="J267" i="4"/>
  <c r="I267" i="4"/>
  <c r="H267" i="4"/>
  <c r="H266" i="4" s="1"/>
  <c r="J47" i="3" s="1"/>
  <c r="BJ265" i="4"/>
  <c r="BF265" i="4"/>
  <c r="BD265" i="4"/>
  <c r="AW265" i="4"/>
  <c r="AP265" i="4"/>
  <c r="I265" i="4" s="1"/>
  <c r="AO265" i="4"/>
  <c r="BH265" i="4" s="1"/>
  <c r="AD265" i="4" s="1"/>
  <c r="AK265" i="4"/>
  <c r="AJ265" i="4"/>
  <c r="AH265" i="4"/>
  <c r="AG265" i="4"/>
  <c r="AF265" i="4"/>
  <c r="AC265" i="4"/>
  <c r="AB265" i="4"/>
  <c r="Z265" i="4"/>
  <c r="J265" i="4"/>
  <c r="AL265" i="4" s="1"/>
  <c r="H265" i="4"/>
  <c r="BJ264" i="4"/>
  <c r="BF264" i="4"/>
  <c r="BD264" i="4"/>
  <c r="AP264" i="4"/>
  <c r="BI264" i="4" s="1"/>
  <c r="AE264" i="4" s="1"/>
  <c r="AO264" i="4"/>
  <c r="AW264" i="4" s="1"/>
  <c r="AK264" i="4"/>
  <c r="AJ264" i="4"/>
  <c r="AH264" i="4"/>
  <c r="AG264" i="4"/>
  <c r="AF264" i="4"/>
  <c r="AC264" i="4"/>
  <c r="AB264" i="4"/>
  <c r="Z264" i="4"/>
  <c r="J264" i="4"/>
  <c r="AL264" i="4" s="1"/>
  <c r="I264" i="4"/>
  <c r="H264" i="4"/>
  <c r="BJ263" i="4"/>
  <c r="BF263" i="4"/>
  <c r="BD263" i="4"/>
  <c r="AW263" i="4"/>
  <c r="AP263" i="4"/>
  <c r="AX263" i="4" s="1"/>
  <c r="AO263" i="4"/>
  <c r="H263" i="4" s="1"/>
  <c r="AK263" i="4"/>
  <c r="AJ263" i="4"/>
  <c r="AH263" i="4"/>
  <c r="AG263" i="4"/>
  <c r="AF263" i="4"/>
  <c r="AC263" i="4"/>
  <c r="AB263" i="4"/>
  <c r="Z263" i="4"/>
  <c r="J263" i="4"/>
  <c r="AL263" i="4" s="1"/>
  <c r="BJ262" i="4"/>
  <c r="BF262" i="4"/>
  <c r="BD262" i="4"/>
  <c r="AP262" i="4"/>
  <c r="I262" i="4" s="1"/>
  <c r="AO262" i="4"/>
  <c r="AW262" i="4" s="1"/>
  <c r="AL262" i="4"/>
  <c r="AK262" i="4"/>
  <c r="AJ262" i="4"/>
  <c r="AH262" i="4"/>
  <c r="AG262" i="4"/>
  <c r="AF262" i="4"/>
  <c r="AC262" i="4"/>
  <c r="AB262" i="4"/>
  <c r="Z262" i="4"/>
  <c r="J262" i="4"/>
  <c r="H262" i="4"/>
  <c r="BJ261" i="4"/>
  <c r="BF261" i="4"/>
  <c r="BD261" i="4"/>
  <c r="AP261" i="4"/>
  <c r="AX261" i="4" s="1"/>
  <c r="AO261" i="4"/>
  <c r="H261" i="4" s="1"/>
  <c r="AL261" i="4"/>
  <c r="AK261" i="4"/>
  <c r="AJ261" i="4"/>
  <c r="AH261" i="4"/>
  <c r="AG261" i="4"/>
  <c r="AF261" i="4"/>
  <c r="AC261" i="4"/>
  <c r="AB261" i="4"/>
  <c r="Z261" i="4"/>
  <c r="J261" i="4"/>
  <c r="I261" i="4"/>
  <c r="BJ259" i="4"/>
  <c r="BH259" i="4"/>
  <c r="AD259" i="4" s="1"/>
  <c r="BF259" i="4"/>
  <c r="BD259" i="4"/>
  <c r="AP259" i="4"/>
  <c r="I259" i="4" s="1"/>
  <c r="AO259" i="4"/>
  <c r="AW259" i="4" s="1"/>
  <c r="AL259" i="4"/>
  <c r="AU257" i="4" s="1"/>
  <c r="AK259" i="4"/>
  <c r="AJ259" i="4"/>
  <c r="AH259" i="4"/>
  <c r="AG259" i="4"/>
  <c r="AF259" i="4"/>
  <c r="AC259" i="4"/>
  <c r="AB259" i="4"/>
  <c r="Z259" i="4"/>
  <c r="J259" i="4"/>
  <c r="H259" i="4"/>
  <c r="BJ258" i="4"/>
  <c r="BF258" i="4"/>
  <c r="BD258" i="4"/>
  <c r="AP258" i="4"/>
  <c r="AX258" i="4" s="1"/>
  <c r="AO258" i="4"/>
  <c r="H258" i="4" s="1"/>
  <c r="AL258" i="4"/>
  <c r="AK258" i="4"/>
  <c r="AT257" i="4" s="1"/>
  <c r="AJ258" i="4"/>
  <c r="AH258" i="4"/>
  <c r="AG258" i="4"/>
  <c r="AF258" i="4"/>
  <c r="AC258" i="4"/>
  <c r="AB258" i="4"/>
  <c r="Z258" i="4"/>
  <c r="J258" i="4"/>
  <c r="BJ256" i="4"/>
  <c r="Z256" i="4" s="1"/>
  <c r="BF256" i="4"/>
  <c r="BD256" i="4"/>
  <c r="AP256" i="4"/>
  <c r="I256" i="4" s="1"/>
  <c r="AO256" i="4"/>
  <c r="AW256" i="4" s="1"/>
  <c r="AK256" i="4"/>
  <c r="AJ256" i="4"/>
  <c r="AH256" i="4"/>
  <c r="AG256" i="4"/>
  <c r="AF256" i="4"/>
  <c r="AE256" i="4"/>
  <c r="AD256" i="4"/>
  <c r="AC256" i="4"/>
  <c r="AB256" i="4"/>
  <c r="J256" i="4"/>
  <c r="AL256" i="4" s="1"/>
  <c r="H256" i="4"/>
  <c r="BJ255" i="4"/>
  <c r="BF255" i="4"/>
  <c r="BD255" i="4"/>
  <c r="AP255" i="4"/>
  <c r="AX255" i="4" s="1"/>
  <c r="AO255" i="4"/>
  <c r="H255" i="4" s="1"/>
  <c r="AK255" i="4"/>
  <c r="AJ255" i="4"/>
  <c r="AH255" i="4"/>
  <c r="AG255" i="4"/>
  <c r="AF255" i="4"/>
  <c r="AC255" i="4"/>
  <c r="AB255" i="4"/>
  <c r="Z255" i="4"/>
  <c r="J255" i="4"/>
  <c r="AL255" i="4" s="1"/>
  <c r="BJ254" i="4"/>
  <c r="BF254" i="4"/>
  <c r="BD254" i="4"/>
  <c r="AX254" i="4"/>
  <c r="AV254" i="4" s="1"/>
  <c r="AW254" i="4"/>
  <c r="AP254" i="4"/>
  <c r="I254" i="4" s="1"/>
  <c r="AO254" i="4"/>
  <c r="BH254" i="4" s="1"/>
  <c r="AD254" i="4" s="1"/>
  <c r="AK254" i="4"/>
  <c r="AJ254" i="4"/>
  <c r="AH254" i="4"/>
  <c r="AG254" i="4"/>
  <c r="AF254" i="4"/>
  <c r="AC254" i="4"/>
  <c r="AB254" i="4"/>
  <c r="Z254" i="4"/>
  <c r="J254" i="4"/>
  <c r="AL254" i="4" s="1"/>
  <c r="H254" i="4"/>
  <c r="BJ253" i="4"/>
  <c r="BF253" i="4"/>
  <c r="BD253" i="4"/>
  <c r="AP253" i="4"/>
  <c r="BI253" i="4" s="1"/>
  <c r="AE253" i="4" s="1"/>
  <c r="AO253" i="4"/>
  <c r="BH253" i="4" s="1"/>
  <c r="AD253" i="4" s="1"/>
  <c r="AL253" i="4"/>
  <c r="AK253" i="4"/>
  <c r="AJ253" i="4"/>
  <c r="AH253" i="4"/>
  <c r="AG253" i="4"/>
  <c r="AF253" i="4"/>
  <c r="AC253" i="4"/>
  <c r="AB253" i="4"/>
  <c r="Z253" i="4"/>
  <c r="J253" i="4"/>
  <c r="I253" i="4"/>
  <c r="H253" i="4"/>
  <c r="BJ252" i="4"/>
  <c r="BH252" i="4"/>
  <c r="AD252" i="4" s="1"/>
  <c r="BF252" i="4"/>
  <c r="BD252" i="4"/>
  <c r="AP252" i="4"/>
  <c r="BI252" i="4" s="1"/>
  <c r="AE252" i="4" s="1"/>
  <c r="AO252" i="4"/>
  <c r="H252" i="4" s="1"/>
  <c r="AK252" i="4"/>
  <c r="AJ252" i="4"/>
  <c r="AH252" i="4"/>
  <c r="AG252" i="4"/>
  <c r="AF252" i="4"/>
  <c r="AC252" i="4"/>
  <c r="AB252" i="4"/>
  <c r="Z252" i="4"/>
  <c r="J252" i="4"/>
  <c r="AL252" i="4" s="1"/>
  <c r="BJ251" i="4"/>
  <c r="BF251" i="4"/>
  <c r="BD251" i="4"/>
  <c r="AW251" i="4"/>
  <c r="AP251" i="4"/>
  <c r="I251" i="4" s="1"/>
  <c r="AO251" i="4"/>
  <c r="H251" i="4" s="1"/>
  <c r="H250" i="4" s="1"/>
  <c r="J44" i="3" s="1"/>
  <c r="AK251" i="4"/>
  <c r="AJ251" i="4"/>
  <c r="AS250" i="4" s="1"/>
  <c r="AH251" i="4"/>
  <c r="AG251" i="4"/>
  <c r="AF251" i="4"/>
  <c r="AC251" i="4"/>
  <c r="AB251" i="4"/>
  <c r="Z251" i="4"/>
  <c r="J251" i="4"/>
  <c r="J250" i="4" s="1"/>
  <c r="L44" i="3" s="1"/>
  <c r="N44" i="3" s="1"/>
  <c r="BJ249" i="4"/>
  <c r="Z249" i="4" s="1"/>
  <c r="BF249" i="4"/>
  <c r="BD249" i="4"/>
  <c r="AX249" i="4"/>
  <c r="AP249" i="4"/>
  <c r="BI249" i="4" s="1"/>
  <c r="AO249" i="4"/>
  <c r="H249" i="4" s="1"/>
  <c r="AK249" i="4"/>
  <c r="AJ249" i="4"/>
  <c r="AH249" i="4"/>
  <c r="AG249" i="4"/>
  <c r="AF249" i="4"/>
  <c r="AE249" i="4"/>
  <c r="AD249" i="4"/>
  <c r="AC249" i="4"/>
  <c r="AB249" i="4"/>
  <c r="J249" i="4"/>
  <c r="AL249" i="4" s="1"/>
  <c r="I249" i="4"/>
  <c r="BJ248" i="4"/>
  <c r="BF248" i="4"/>
  <c r="BD248" i="4"/>
  <c r="AW248" i="4"/>
  <c r="AP248" i="4"/>
  <c r="I248" i="4" s="1"/>
  <c r="AO248" i="4"/>
  <c r="H248" i="4" s="1"/>
  <c r="AK248" i="4"/>
  <c r="AJ248" i="4"/>
  <c r="AH248" i="4"/>
  <c r="AG248" i="4"/>
  <c r="AF248" i="4"/>
  <c r="AC248" i="4"/>
  <c r="AB248" i="4"/>
  <c r="Z248" i="4"/>
  <c r="J248" i="4"/>
  <c r="AL248" i="4" s="1"/>
  <c r="BJ247" i="4"/>
  <c r="BF247" i="4"/>
  <c r="BD247" i="4"/>
  <c r="BC247" i="4"/>
  <c r="AX247" i="4"/>
  <c r="AV247" i="4" s="1"/>
  <c r="AP247" i="4"/>
  <c r="I247" i="4" s="1"/>
  <c r="AO247" i="4"/>
  <c r="AW247" i="4" s="1"/>
  <c r="AK247" i="4"/>
  <c r="AJ247" i="4"/>
  <c r="AH247" i="4"/>
  <c r="AG247" i="4"/>
  <c r="AF247" i="4"/>
  <c r="AC247" i="4"/>
  <c r="AB247" i="4"/>
  <c r="Z247" i="4"/>
  <c r="J247" i="4"/>
  <c r="AL247" i="4" s="1"/>
  <c r="H247" i="4"/>
  <c r="BJ246" i="4"/>
  <c r="BF246" i="4"/>
  <c r="BD246" i="4"/>
  <c r="AW246" i="4"/>
  <c r="AV246" i="4" s="1"/>
  <c r="AP246" i="4"/>
  <c r="AX246" i="4" s="1"/>
  <c r="AO246" i="4"/>
  <c r="H246" i="4" s="1"/>
  <c r="AK246" i="4"/>
  <c r="AT244" i="4" s="1"/>
  <c r="AJ246" i="4"/>
  <c r="AH246" i="4"/>
  <c r="AG246" i="4"/>
  <c r="AF246" i="4"/>
  <c r="AC246" i="4"/>
  <c r="AB246" i="4"/>
  <c r="Z246" i="4"/>
  <c r="J246" i="4"/>
  <c r="AL246" i="4" s="1"/>
  <c r="BJ245" i="4"/>
  <c r="BI245" i="4"/>
  <c r="AE245" i="4" s="1"/>
  <c r="BF245" i="4"/>
  <c r="BD245" i="4"/>
  <c r="AX245" i="4"/>
  <c r="AP245" i="4"/>
  <c r="I245" i="4" s="1"/>
  <c r="AO245" i="4"/>
  <c r="AW245" i="4" s="1"/>
  <c r="AK245" i="4"/>
  <c r="AJ245" i="4"/>
  <c r="AH245" i="4"/>
  <c r="AG245" i="4"/>
  <c r="AF245" i="4"/>
  <c r="AC245" i="4"/>
  <c r="AB245" i="4"/>
  <c r="Z245" i="4"/>
  <c r="J245" i="4"/>
  <c r="AL245" i="4" s="1"/>
  <c r="AS244" i="4"/>
  <c r="BJ243" i="4"/>
  <c r="Z243" i="4" s="1"/>
  <c r="BI243" i="4"/>
  <c r="BF243" i="4"/>
  <c r="BD243" i="4"/>
  <c r="AP243" i="4"/>
  <c r="AX243" i="4" s="1"/>
  <c r="AO243" i="4"/>
  <c r="H243" i="4" s="1"/>
  <c r="AL243" i="4"/>
  <c r="AK243" i="4"/>
  <c r="AJ243" i="4"/>
  <c r="AH243" i="4"/>
  <c r="AG243" i="4"/>
  <c r="AF243" i="4"/>
  <c r="AE243" i="4"/>
  <c r="AD243" i="4"/>
  <c r="AC243" i="4"/>
  <c r="AB243" i="4"/>
  <c r="J243" i="4"/>
  <c r="I243" i="4"/>
  <c r="BJ242" i="4"/>
  <c r="BH242" i="4"/>
  <c r="AD242" i="4" s="1"/>
  <c r="BF242" i="4"/>
  <c r="BD242" i="4"/>
  <c r="AP242" i="4"/>
  <c r="I242" i="4" s="1"/>
  <c r="AO242" i="4"/>
  <c r="AW242" i="4" s="1"/>
  <c r="AK242" i="4"/>
  <c r="AJ242" i="4"/>
  <c r="AH242" i="4"/>
  <c r="AG242" i="4"/>
  <c r="AF242" i="4"/>
  <c r="AC242" i="4"/>
  <c r="AB242" i="4"/>
  <c r="Z242" i="4"/>
  <c r="J242" i="4"/>
  <c r="AL242" i="4" s="1"/>
  <c r="BJ241" i="4"/>
  <c r="BI241" i="4"/>
  <c r="AE241" i="4" s="1"/>
  <c r="BF241" i="4"/>
  <c r="BD241" i="4"/>
  <c r="AP241" i="4"/>
  <c r="AX241" i="4" s="1"/>
  <c r="AO241" i="4"/>
  <c r="BH241" i="4" s="1"/>
  <c r="AD241" i="4" s="1"/>
  <c r="AK241" i="4"/>
  <c r="AJ241" i="4"/>
  <c r="AH241" i="4"/>
  <c r="AG241" i="4"/>
  <c r="AF241" i="4"/>
  <c r="AC241" i="4"/>
  <c r="AB241" i="4"/>
  <c r="Z241" i="4"/>
  <c r="J241" i="4"/>
  <c r="AL241" i="4" s="1"/>
  <c r="I241" i="4"/>
  <c r="BJ240" i="4"/>
  <c r="BF240" i="4"/>
  <c r="BD240" i="4"/>
  <c r="AP240" i="4"/>
  <c r="BI240" i="4" s="1"/>
  <c r="AE240" i="4" s="1"/>
  <c r="AO240" i="4"/>
  <c r="BH240" i="4" s="1"/>
  <c r="AD240" i="4" s="1"/>
  <c r="AK240" i="4"/>
  <c r="AJ240" i="4"/>
  <c r="AS239" i="4" s="1"/>
  <c r="AH240" i="4"/>
  <c r="AG240" i="4"/>
  <c r="AF240" i="4"/>
  <c r="AC240" i="4"/>
  <c r="AB240" i="4"/>
  <c r="Z240" i="4"/>
  <c r="J240" i="4"/>
  <c r="AL240" i="4" s="1"/>
  <c r="BJ238" i="4"/>
  <c r="BF238" i="4"/>
  <c r="BD238" i="4"/>
  <c r="AP238" i="4"/>
  <c r="BI238" i="4" s="1"/>
  <c r="AO238" i="4"/>
  <c r="BH238" i="4" s="1"/>
  <c r="AK238" i="4"/>
  <c r="AJ238" i="4"/>
  <c r="AH238" i="4"/>
  <c r="AG238" i="4"/>
  <c r="AF238" i="4"/>
  <c r="AE238" i="4"/>
  <c r="AD238" i="4"/>
  <c r="AC238" i="4"/>
  <c r="AB238" i="4"/>
  <c r="Z238" i="4"/>
  <c r="J238" i="4"/>
  <c r="AL238" i="4" s="1"/>
  <c r="BJ237" i="4"/>
  <c r="BF237" i="4"/>
  <c r="BD237" i="4"/>
  <c r="AP237" i="4"/>
  <c r="BI237" i="4" s="1"/>
  <c r="AE237" i="4" s="1"/>
  <c r="AO237" i="4"/>
  <c r="BH237" i="4" s="1"/>
  <c r="AD237" i="4" s="1"/>
  <c r="AK237" i="4"/>
  <c r="AJ237" i="4"/>
  <c r="AH237" i="4"/>
  <c r="AG237" i="4"/>
  <c r="AF237" i="4"/>
  <c r="AC237" i="4"/>
  <c r="AB237" i="4"/>
  <c r="Z237" i="4"/>
  <c r="J237" i="4"/>
  <c r="AL237" i="4" s="1"/>
  <c r="BJ236" i="4"/>
  <c r="BF236" i="4"/>
  <c r="BD236" i="4"/>
  <c r="AW236" i="4"/>
  <c r="AP236" i="4"/>
  <c r="BI236" i="4" s="1"/>
  <c r="AE236" i="4" s="1"/>
  <c r="AO236" i="4"/>
  <c r="BH236" i="4" s="1"/>
  <c r="AD236" i="4" s="1"/>
  <c r="AL236" i="4"/>
  <c r="AK236" i="4"/>
  <c r="AJ236" i="4"/>
  <c r="AH236" i="4"/>
  <c r="AG236" i="4"/>
  <c r="AF236" i="4"/>
  <c r="AC236" i="4"/>
  <c r="AB236" i="4"/>
  <c r="Z236" i="4"/>
  <c r="J236" i="4"/>
  <c r="H236" i="4"/>
  <c r="BJ235" i="4"/>
  <c r="BF235" i="4"/>
  <c r="BD235" i="4"/>
  <c r="AX235" i="4"/>
  <c r="AP235" i="4"/>
  <c r="BI235" i="4" s="1"/>
  <c r="AE235" i="4" s="1"/>
  <c r="AO235" i="4"/>
  <c r="AW235" i="4" s="1"/>
  <c r="AL235" i="4"/>
  <c r="AK235" i="4"/>
  <c r="AJ235" i="4"/>
  <c r="AH235" i="4"/>
  <c r="AG235" i="4"/>
  <c r="AF235" i="4"/>
  <c r="AC235" i="4"/>
  <c r="AB235" i="4"/>
  <c r="Z235" i="4"/>
  <c r="J235" i="4"/>
  <c r="I235" i="4"/>
  <c r="AS234" i="4"/>
  <c r="BJ233" i="4"/>
  <c r="Z233" i="4" s="1"/>
  <c r="BF233" i="4"/>
  <c r="BD233" i="4"/>
  <c r="AP233" i="4"/>
  <c r="BI233" i="4" s="1"/>
  <c r="AO233" i="4"/>
  <c r="BH233" i="4" s="1"/>
  <c r="AK233" i="4"/>
  <c r="AJ233" i="4"/>
  <c r="AH233" i="4"/>
  <c r="AG233" i="4"/>
  <c r="AF233" i="4"/>
  <c r="AE233" i="4"/>
  <c r="AD233" i="4"/>
  <c r="AC233" i="4"/>
  <c r="AB233" i="4"/>
  <c r="J233" i="4"/>
  <c r="AL233" i="4" s="1"/>
  <c r="H233" i="4"/>
  <c r="BJ232" i="4"/>
  <c r="BF232" i="4"/>
  <c r="BD232" i="4"/>
  <c r="AX232" i="4"/>
  <c r="AP232" i="4"/>
  <c r="BI232" i="4" s="1"/>
  <c r="AE232" i="4" s="1"/>
  <c r="AO232" i="4"/>
  <c r="AW232" i="4" s="1"/>
  <c r="AL232" i="4"/>
  <c r="AK232" i="4"/>
  <c r="AJ232" i="4"/>
  <c r="AH232" i="4"/>
  <c r="AG232" i="4"/>
  <c r="AF232" i="4"/>
  <c r="AC232" i="4"/>
  <c r="AB232" i="4"/>
  <c r="Z232" i="4"/>
  <c r="J232" i="4"/>
  <c r="I232" i="4"/>
  <c r="BJ231" i="4"/>
  <c r="BF231" i="4"/>
  <c r="BD231" i="4"/>
  <c r="AP231" i="4"/>
  <c r="AX231" i="4" s="1"/>
  <c r="AO231" i="4"/>
  <c r="AW231" i="4" s="1"/>
  <c r="AK231" i="4"/>
  <c r="AJ231" i="4"/>
  <c r="AH231" i="4"/>
  <c r="AG231" i="4"/>
  <c r="AF231" i="4"/>
  <c r="AC231" i="4"/>
  <c r="AB231" i="4"/>
  <c r="Z231" i="4"/>
  <c r="J231" i="4"/>
  <c r="AL231" i="4" s="1"/>
  <c r="BJ230" i="4"/>
  <c r="BF230" i="4"/>
  <c r="BD230" i="4"/>
  <c r="AP230" i="4"/>
  <c r="AX230" i="4" s="1"/>
  <c r="AO230" i="4"/>
  <c r="AW230" i="4" s="1"/>
  <c r="AK230" i="4"/>
  <c r="AJ230" i="4"/>
  <c r="AH230" i="4"/>
  <c r="AG230" i="4"/>
  <c r="AF230" i="4"/>
  <c r="AC230" i="4"/>
  <c r="AB230" i="4"/>
  <c r="Z230" i="4"/>
  <c r="J230" i="4"/>
  <c r="AL230" i="4" s="1"/>
  <c r="BJ229" i="4"/>
  <c r="BF229" i="4"/>
  <c r="BD229" i="4"/>
  <c r="AW229" i="4"/>
  <c r="BC229" i="4" s="1"/>
  <c r="AP229" i="4"/>
  <c r="AX229" i="4" s="1"/>
  <c r="AO229" i="4"/>
  <c r="BH229" i="4" s="1"/>
  <c r="AD229" i="4" s="1"/>
  <c r="AK229" i="4"/>
  <c r="AJ229" i="4"/>
  <c r="AH229" i="4"/>
  <c r="AG229" i="4"/>
  <c r="AF229" i="4"/>
  <c r="AC229" i="4"/>
  <c r="AB229" i="4"/>
  <c r="Z229" i="4"/>
  <c r="J229" i="4"/>
  <c r="AL229" i="4" s="1"/>
  <c r="I229" i="4"/>
  <c r="H229" i="4"/>
  <c r="BJ228" i="4"/>
  <c r="BF228" i="4"/>
  <c r="BD228" i="4"/>
  <c r="AX228" i="4"/>
  <c r="AW228" i="4"/>
  <c r="BC228" i="4" s="1"/>
  <c r="AP228" i="4"/>
  <c r="BI228" i="4" s="1"/>
  <c r="AE228" i="4" s="1"/>
  <c r="AO228" i="4"/>
  <c r="BH228" i="4" s="1"/>
  <c r="AD228" i="4" s="1"/>
  <c r="AK228" i="4"/>
  <c r="AJ228" i="4"/>
  <c r="AH228" i="4"/>
  <c r="AG228" i="4"/>
  <c r="AF228" i="4"/>
  <c r="AC228" i="4"/>
  <c r="AB228" i="4"/>
  <c r="Z228" i="4"/>
  <c r="J228" i="4"/>
  <c r="AL228" i="4" s="1"/>
  <c r="I228" i="4"/>
  <c r="H228" i="4"/>
  <c r="BJ227" i="4"/>
  <c r="BF227" i="4"/>
  <c r="BD227" i="4"/>
  <c r="AX227" i="4"/>
  <c r="AP227" i="4"/>
  <c r="BI227" i="4" s="1"/>
  <c r="AE227" i="4" s="1"/>
  <c r="AO227" i="4"/>
  <c r="BH227" i="4" s="1"/>
  <c r="AD227" i="4" s="1"/>
  <c r="AK227" i="4"/>
  <c r="AJ227" i="4"/>
  <c r="AH227" i="4"/>
  <c r="AG227" i="4"/>
  <c r="AF227" i="4"/>
  <c r="AC227" i="4"/>
  <c r="AB227" i="4"/>
  <c r="Z227" i="4"/>
  <c r="J227" i="4"/>
  <c r="AL227" i="4" s="1"/>
  <c r="I227" i="4"/>
  <c r="BJ226" i="4"/>
  <c r="BF226" i="4"/>
  <c r="BD226" i="4"/>
  <c r="AP226" i="4"/>
  <c r="BI226" i="4" s="1"/>
  <c r="AE226" i="4" s="1"/>
  <c r="AO226" i="4"/>
  <c r="BH226" i="4" s="1"/>
  <c r="AD226" i="4" s="1"/>
  <c r="AK226" i="4"/>
  <c r="AJ226" i="4"/>
  <c r="AH226" i="4"/>
  <c r="AG226" i="4"/>
  <c r="AF226" i="4"/>
  <c r="AC226" i="4"/>
  <c r="AB226" i="4"/>
  <c r="Z226" i="4"/>
  <c r="J226" i="4"/>
  <c r="AL226" i="4" s="1"/>
  <c r="BJ225" i="4"/>
  <c r="BF225" i="4"/>
  <c r="BD225" i="4"/>
  <c r="AW225" i="4"/>
  <c r="AP225" i="4"/>
  <c r="BI225" i="4" s="1"/>
  <c r="AE225" i="4" s="1"/>
  <c r="AO225" i="4"/>
  <c r="BH225" i="4" s="1"/>
  <c r="AD225" i="4" s="1"/>
  <c r="AK225" i="4"/>
  <c r="AJ225" i="4"/>
  <c r="AH225" i="4"/>
  <c r="AG225" i="4"/>
  <c r="AF225" i="4"/>
  <c r="AC225" i="4"/>
  <c r="AB225" i="4"/>
  <c r="Z225" i="4"/>
  <c r="J225" i="4"/>
  <c r="AL225" i="4" s="1"/>
  <c r="H225" i="4"/>
  <c r="BJ224" i="4"/>
  <c r="BF224" i="4"/>
  <c r="BD224" i="4"/>
  <c r="AP224" i="4"/>
  <c r="BI224" i="4" s="1"/>
  <c r="AE224" i="4" s="1"/>
  <c r="AO224" i="4"/>
  <c r="BH224" i="4" s="1"/>
  <c r="AD224" i="4" s="1"/>
  <c r="AL224" i="4"/>
  <c r="AK224" i="4"/>
  <c r="AJ224" i="4"/>
  <c r="AH224" i="4"/>
  <c r="AG224" i="4"/>
  <c r="AF224" i="4"/>
  <c r="AC224" i="4"/>
  <c r="AB224" i="4"/>
  <c r="Z224" i="4"/>
  <c r="J224" i="4"/>
  <c r="I224" i="4"/>
  <c r="BJ223" i="4"/>
  <c r="BF223" i="4"/>
  <c r="BD223" i="4"/>
  <c r="AP223" i="4"/>
  <c r="AO223" i="4"/>
  <c r="AK223" i="4"/>
  <c r="AJ223" i="4"/>
  <c r="AH223" i="4"/>
  <c r="AG223" i="4"/>
  <c r="AF223" i="4"/>
  <c r="AC223" i="4"/>
  <c r="AB223" i="4"/>
  <c r="Z223" i="4"/>
  <c r="J223" i="4"/>
  <c r="AL223" i="4" s="1"/>
  <c r="BJ222" i="4"/>
  <c r="BI222" i="4"/>
  <c r="AE222" i="4" s="1"/>
  <c r="BF222" i="4"/>
  <c r="BD222" i="4"/>
  <c r="AP222" i="4"/>
  <c r="AO222" i="4"/>
  <c r="AW222" i="4" s="1"/>
  <c r="AK222" i="4"/>
  <c r="AJ222" i="4"/>
  <c r="AH222" i="4"/>
  <c r="AG222" i="4"/>
  <c r="AF222" i="4"/>
  <c r="AC222" i="4"/>
  <c r="AB222" i="4"/>
  <c r="Z222" i="4"/>
  <c r="J222" i="4"/>
  <c r="AL222" i="4" s="1"/>
  <c r="H222" i="4"/>
  <c r="BJ221" i="4"/>
  <c r="BF221" i="4"/>
  <c r="BD221" i="4"/>
  <c r="AP221" i="4"/>
  <c r="AX221" i="4" s="1"/>
  <c r="AO221" i="4"/>
  <c r="BH221" i="4" s="1"/>
  <c r="AD221" i="4" s="1"/>
  <c r="AL221" i="4"/>
  <c r="AK221" i="4"/>
  <c r="AJ221" i="4"/>
  <c r="AH221" i="4"/>
  <c r="AG221" i="4"/>
  <c r="AF221" i="4"/>
  <c r="AC221" i="4"/>
  <c r="AB221" i="4"/>
  <c r="Z221" i="4"/>
  <c r="J221" i="4"/>
  <c r="I221" i="4"/>
  <c r="BJ220" i="4"/>
  <c r="BF220" i="4"/>
  <c r="BD220" i="4"/>
  <c r="AX220" i="4"/>
  <c r="AW220" i="4"/>
  <c r="AP220" i="4"/>
  <c r="BI220" i="4" s="1"/>
  <c r="AE220" i="4" s="1"/>
  <c r="AO220" i="4"/>
  <c r="BH220" i="4" s="1"/>
  <c r="AD220" i="4" s="1"/>
  <c r="AK220" i="4"/>
  <c r="AJ220" i="4"/>
  <c r="AH220" i="4"/>
  <c r="AG220" i="4"/>
  <c r="AF220" i="4"/>
  <c r="AC220" i="4"/>
  <c r="AB220" i="4"/>
  <c r="Z220" i="4"/>
  <c r="J220" i="4"/>
  <c r="AL220" i="4" s="1"/>
  <c r="I220" i="4"/>
  <c r="H220" i="4"/>
  <c r="BJ219" i="4"/>
  <c r="BF219" i="4"/>
  <c r="BD219" i="4"/>
  <c r="AX219" i="4"/>
  <c r="AP219" i="4"/>
  <c r="BI219" i="4" s="1"/>
  <c r="AE219" i="4" s="1"/>
  <c r="AO219" i="4"/>
  <c r="BH219" i="4" s="1"/>
  <c r="AD219" i="4" s="1"/>
  <c r="AK219" i="4"/>
  <c r="AJ219" i="4"/>
  <c r="AH219" i="4"/>
  <c r="AG219" i="4"/>
  <c r="AF219" i="4"/>
  <c r="AC219" i="4"/>
  <c r="AB219" i="4"/>
  <c r="Z219" i="4"/>
  <c r="J219" i="4"/>
  <c r="AL219" i="4" s="1"/>
  <c r="I219" i="4"/>
  <c r="BJ218" i="4"/>
  <c r="BF218" i="4"/>
  <c r="BD218" i="4"/>
  <c r="AP218" i="4"/>
  <c r="AO218" i="4"/>
  <c r="BH218" i="4" s="1"/>
  <c r="AD218" i="4" s="1"/>
  <c r="AK218" i="4"/>
  <c r="AJ218" i="4"/>
  <c r="AH218" i="4"/>
  <c r="AG218" i="4"/>
  <c r="AF218" i="4"/>
  <c r="AC218" i="4"/>
  <c r="AB218" i="4"/>
  <c r="Z218" i="4"/>
  <c r="J218" i="4"/>
  <c r="AL218" i="4" s="1"/>
  <c r="BJ217" i="4"/>
  <c r="BF217" i="4"/>
  <c r="BD217" i="4"/>
  <c r="AW217" i="4"/>
  <c r="AP217" i="4"/>
  <c r="BI217" i="4" s="1"/>
  <c r="AE217" i="4" s="1"/>
  <c r="AO217" i="4"/>
  <c r="BH217" i="4" s="1"/>
  <c r="AD217" i="4" s="1"/>
  <c r="AK217" i="4"/>
  <c r="AJ217" i="4"/>
  <c r="AH217" i="4"/>
  <c r="AG217" i="4"/>
  <c r="AF217" i="4"/>
  <c r="AC217" i="4"/>
  <c r="AB217" i="4"/>
  <c r="Z217" i="4"/>
  <c r="J217" i="4"/>
  <c r="AL217" i="4" s="1"/>
  <c r="H217" i="4"/>
  <c r="BJ216" i="4"/>
  <c r="BF216" i="4"/>
  <c r="BD216" i="4"/>
  <c r="AP216" i="4"/>
  <c r="BI216" i="4" s="1"/>
  <c r="AE216" i="4" s="1"/>
  <c r="AO216" i="4"/>
  <c r="H216" i="4" s="1"/>
  <c r="AL216" i="4"/>
  <c r="AK216" i="4"/>
  <c r="AJ216" i="4"/>
  <c r="AH216" i="4"/>
  <c r="AG216" i="4"/>
  <c r="AF216" i="4"/>
  <c r="AC216" i="4"/>
  <c r="AB216" i="4"/>
  <c r="Z216" i="4"/>
  <c r="J216" i="4"/>
  <c r="BJ215" i="4"/>
  <c r="BF215" i="4"/>
  <c r="BD215" i="4"/>
  <c r="AP215" i="4"/>
  <c r="I215" i="4" s="1"/>
  <c r="AO215" i="4"/>
  <c r="AK215" i="4"/>
  <c r="AJ215" i="4"/>
  <c r="AH215" i="4"/>
  <c r="AG215" i="4"/>
  <c r="AF215" i="4"/>
  <c r="AC215" i="4"/>
  <c r="AB215" i="4"/>
  <c r="Z215" i="4"/>
  <c r="J215" i="4"/>
  <c r="AL215" i="4" s="1"/>
  <c r="BJ214" i="4"/>
  <c r="BF214" i="4"/>
  <c r="BD214" i="4"/>
  <c r="AP214" i="4"/>
  <c r="AO214" i="4"/>
  <c r="AW214" i="4" s="1"/>
  <c r="AK214" i="4"/>
  <c r="AJ214" i="4"/>
  <c r="AH214" i="4"/>
  <c r="AG214" i="4"/>
  <c r="AF214" i="4"/>
  <c r="AC214" i="4"/>
  <c r="AB214" i="4"/>
  <c r="Z214" i="4"/>
  <c r="J214" i="4"/>
  <c r="AL214" i="4" s="1"/>
  <c r="H214" i="4"/>
  <c r="BJ213" i="4"/>
  <c r="BF213" i="4"/>
  <c r="BD213" i="4"/>
  <c r="AP213" i="4"/>
  <c r="AX213" i="4" s="1"/>
  <c r="AO213" i="4"/>
  <c r="BH213" i="4" s="1"/>
  <c r="AD213" i="4" s="1"/>
  <c r="AL213" i="4"/>
  <c r="AK213" i="4"/>
  <c r="AJ213" i="4"/>
  <c r="AH213" i="4"/>
  <c r="AG213" i="4"/>
  <c r="AF213" i="4"/>
  <c r="AC213" i="4"/>
  <c r="AB213" i="4"/>
  <c r="Z213" i="4"/>
  <c r="J213" i="4"/>
  <c r="I213" i="4"/>
  <c r="H213" i="4"/>
  <c r="BJ212" i="4"/>
  <c r="BF212" i="4"/>
  <c r="BD212" i="4"/>
  <c r="AX212" i="4"/>
  <c r="AW212" i="4"/>
  <c r="AP212" i="4"/>
  <c r="BI212" i="4" s="1"/>
  <c r="AE212" i="4" s="1"/>
  <c r="AO212" i="4"/>
  <c r="BH212" i="4" s="1"/>
  <c r="AD212" i="4" s="1"/>
  <c r="AK212" i="4"/>
  <c r="AJ212" i="4"/>
  <c r="AH212" i="4"/>
  <c r="AG212" i="4"/>
  <c r="AF212" i="4"/>
  <c r="AC212" i="4"/>
  <c r="AB212" i="4"/>
  <c r="Z212" i="4"/>
  <c r="J212" i="4"/>
  <c r="AL212" i="4" s="1"/>
  <c r="I212" i="4"/>
  <c r="H212" i="4"/>
  <c r="BJ211" i="4"/>
  <c r="BF211" i="4"/>
  <c r="BD211" i="4"/>
  <c r="AP211" i="4"/>
  <c r="BI211" i="4" s="1"/>
  <c r="AE211" i="4" s="1"/>
  <c r="AO211" i="4"/>
  <c r="BH211" i="4" s="1"/>
  <c r="AD211" i="4" s="1"/>
  <c r="AK211" i="4"/>
  <c r="AJ211" i="4"/>
  <c r="AH211" i="4"/>
  <c r="AG211" i="4"/>
  <c r="AF211" i="4"/>
  <c r="AC211" i="4"/>
  <c r="AB211" i="4"/>
  <c r="Z211" i="4"/>
  <c r="J211" i="4"/>
  <c r="AL211" i="4" s="1"/>
  <c r="BJ210" i="4"/>
  <c r="BF210" i="4"/>
  <c r="BD210" i="4"/>
  <c r="AP210" i="4"/>
  <c r="BI210" i="4" s="1"/>
  <c r="AE210" i="4" s="1"/>
  <c r="AO210" i="4"/>
  <c r="AK210" i="4"/>
  <c r="AJ210" i="4"/>
  <c r="AH210" i="4"/>
  <c r="AG210" i="4"/>
  <c r="AF210" i="4"/>
  <c r="AC210" i="4"/>
  <c r="AB210" i="4"/>
  <c r="Z210" i="4"/>
  <c r="J210" i="4"/>
  <c r="AL210" i="4" s="1"/>
  <c r="BJ209" i="4"/>
  <c r="BF209" i="4"/>
  <c r="BD209" i="4"/>
  <c r="AW209" i="4"/>
  <c r="AP209" i="4"/>
  <c r="AO209" i="4"/>
  <c r="BH209" i="4" s="1"/>
  <c r="AD209" i="4" s="1"/>
  <c r="AK209" i="4"/>
  <c r="AJ209" i="4"/>
  <c r="AH209" i="4"/>
  <c r="AG209" i="4"/>
  <c r="AF209" i="4"/>
  <c r="AC209" i="4"/>
  <c r="AB209" i="4"/>
  <c r="Z209" i="4"/>
  <c r="J209" i="4"/>
  <c r="AL209" i="4" s="1"/>
  <c r="BJ208" i="4"/>
  <c r="BF208" i="4"/>
  <c r="BD208" i="4"/>
  <c r="AX208" i="4"/>
  <c r="AP208" i="4"/>
  <c r="BI208" i="4" s="1"/>
  <c r="AE208" i="4" s="1"/>
  <c r="AO208" i="4"/>
  <c r="AW208" i="4" s="1"/>
  <c r="AL208" i="4"/>
  <c r="AK208" i="4"/>
  <c r="AJ208" i="4"/>
  <c r="AH208" i="4"/>
  <c r="AG208" i="4"/>
  <c r="AF208" i="4"/>
  <c r="AC208" i="4"/>
  <c r="AB208" i="4"/>
  <c r="Z208" i="4"/>
  <c r="J208" i="4"/>
  <c r="I208" i="4"/>
  <c r="BJ207" i="4"/>
  <c r="BH207" i="4"/>
  <c r="AD207" i="4" s="1"/>
  <c r="BF207" i="4"/>
  <c r="BD207" i="4"/>
  <c r="AX207" i="4"/>
  <c r="AW207" i="4"/>
  <c r="AP207" i="4"/>
  <c r="BI207" i="4" s="1"/>
  <c r="AE207" i="4" s="1"/>
  <c r="AO207" i="4"/>
  <c r="H207" i="4" s="1"/>
  <c r="AK207" i="4"/>
  <c r="AJ207" i="4"/>
  <c r="AH207" i="4"/>
  <c r="AG207" i="4"/>
  <c r="AF207" i="4"/>
  <c r="AC207" i="4"/>
  <c r="AB207" i="4"/>
  <c r="Z207" i="4"/>
  <c r="J207" i="4"/>
  <c r="AL207" i="4" s="1"/>
  <c r="BJ206" i="4"/>
  <c r="BF206" i="4"/>
  <c r="BD206" i="4"/>
  <c r="AP206" i="4"/>
  <c r="I206" i="4" s="1"/>
  <c r="AO206" i="4"/>
  <c r="AW206" i="4" s="1"/>
  <c r="AK206" i="4"/>
  <c r="AJ206" i="4"/>
  <c r="AH206" i="4"/>
  <c r="AG206" i="4"/>
  <c r="AF206" i="4"/>
  <c r="AC206" i="4"/>
  <c r="AB206" i="4"/>
  <c r="Z206" i="4"/>
  <c r="J206" i="4"/>
  <c r="AL206" i="4" s="1"/>
  <c r="BJ205" i="4"/>
  <c r="BF205" i="4"/>
  <c r="BD205" i="4"/>
  <c r="AP205" i="4"/>
  <c r="AX205" i="4" s="1"/>
  <c r="AO205" i="4"/>
  <c r="BH205" i="4" s="1"/>
  <c r="AD205" i="4" s="1"/>
  <c r="AL205" i="4"/>
  <c r="AK205" i="4"/>
  <c r="AJ205" i="4"/>
  <c r="AH205" i="4"/>
  <c r="AG205" i="4"/>
  <c r="AF205" i="4"/>
  <c r="AC205" i="4"/>
  <c r="AB205" i="4"/>
  <c r="Z205" i="4"/>
  <c r="J205" i="4"/>
  <c r="I205" i="4"/>
  <c r="H205" i="4"/>
  <c r="BJ204" i="4"/>
  <c r="BF204" i="4"/>
  <c r="BD204" i="4"/>
  <c r="AX204" i="4"/>
  <c r="AP204" i="4"/>
  <c r="BI204" i="4" s="1"/>
  <c r="AE204" i="4" s="1"/>
  <c r="AO204" i="4"/>
  <c r="BH204" i="4" s="1"/>
  <c r="AD204" i="4" s="1"/>
  <c r="AK204" i="4"/>
  <c r="AJ204" i="4"/>
  <c r="AH204" i="4"/>
  <c r="AG204" i="4"/>
  <c r="AF204" i="4"/>
  <c r="AC204" i="4"/>
  <c r="AB204" i="4"/>
  <c r="Z204" i="4"/>
  <c r="J204" i="4"/>
  <c r="AL204" i="4" s="1"/>
  <c r="I204" i="4"/>
  <c r="BJ203" i="4"/>
  <c r="BF203" i="4"/>
  <c r="BD203" i="4"/>
  <c r="AX203" i="4"/>
  <c r="AP203" i="4"/>
  <c r="BI203" i="4" s="1"/>
  <c r="AE203" i="4" s="1"/>
  <c r="AO203" i="4"/>
  <c r="BH203" i="4" s="1"/>
  <c r="AD203" i="4" s="1"/>
  <c r="AK203" i="4"/>
  <c r="AJ203" i="4"/>
  <c r="AH203" i="4"/>
  <c r="AG203" i="4"/>
  <c r="AF203" i="4"/>
  <c r="AC203" i="4"/>
  <c r="AB203" i="4"/>
  <c r="Z203" i="4"/>
  <c r="J203" i="4"/>
  <c r="I203" i="4"/>
  <c r="BJ201" i="4"/>
  <c r="Z201" i="4" s="1"/>
  <c r="BF201" i="4"/>
  <c r="BD201" i="4"/>
  <c r="AW201" i="4"/>
  <c r="AP201" i="4"/>
  <c r="BI201" i="4" s="1"/>
  <c r="AO201" i="4"/>
  <c r="BH201" i="4" s="1"/>
  <c r="AK201" i="4"/>
  <c r="AJ201" i="4"/>
  <c r="AH201" i="4"/>
  <c r="AG201" i="4"/>
  <c r="AF201" i="4"/>
  <c r="AE201" i="4"/>
  <c r="AD201" i="4"/>
  <c r="AC201" i="4"/>
  <c r="AB201" i="4"/>
  <c r="J201" i="4"/>
  <c r="AL201" i="4" s="1"/>
  <c r="I201" i="4"/>
  <c r="H201" i="4"/>
  <c r="BJ200" i="4"/>
  <c r="BF200" i="4"/>
  <c r="BD200" i="4"/>
  <c r="AX200" i="4"/>
  <c r="AP200" i="4"/>
  <c r="BI200" i="4" s="1"/>
  <c r="AE200" i="4" s="1"/>
  <c r="AO200" i="4"/>
  <c r="BH200" i="4" s="1"/>
  <c r="AD200" i="4" s="1"/>
  <c r="AK200" i="4"/>
  <c r="AJ200" i="4"/>
  <c r="AH200" i="4"/>
  <c r="AG200" i="4"/>
  <c r="AF200" i="4"/>
  <c r="AC200" i="4"/>
  <c r="AB200" i="4"/>
  <c r="Z200" i="4"/>
  <c r="J200" i="4"/>
  <c r="AL200" i="4" s="1"/>
  <c r="I200" i="4"/>
  <c r="BJ199" i="4"/>
  <c r="BH199" i="4"/>
  <c r="AD199" i="4" s="1"/>
  <c r="BF199" i="4"/>
  <c r="BD199" i="4"/>
  <c r="AP199" i="4"/>
  <c r="BI199" i="4" s="1"/>
  <c r="AE199" i="4" s="1"/>
  <c r="AO199" i="4"/>
  <c r="AK199" i="4"/>
  <c r="AJ199" i="4"/>
  <c r="AH199" i="4"/>
  <c r="AG199" i="4"/>
  <c r="AF199" i="4"/>
  <c r="AC199" i="4"/>
  <c r="AB199" i="4"/>
  <c r="Z199" i="4"/>
  <c r="J199" i="4"/>
  <c r="AL199" i="4" s="1"/>
  <c r="BJ198" i="4"/>
  <c r="BF198" i="4"/>
  <c r="BD198" i="4"/>
  <c r="AW198" i="4"/>
  <c r="AP198" i="4"/>
  <c r="BI198" i="4" s="1"/>
  <c r="AE198" i="4" s="1"/>
  <c r="AO198" i="4"/>
  <c r="BH198" i="4" s="1"/>
  <c r="AD198" i="4" s="1"/>
  <c r="AK198" i="4"/>
  <c r="AJ198" i="4"/>
  <c r="AH198" i="4"/>
  <c r="AG198" i="4"/>
  <c r="AF198" i="4"/>
  <c r="AC198" i="4"/>
  <c r="AB198" i="4"/>
  <c r="Z198" i="4"/>
  <c r="J198" i="4"/>
  <c r="AL198" i="4" s="1"/>
  <c r="BJ197" i="4"/>
  <c r="BH197" i="4"/>
  <c r="AD197" i="4" s="1"/>
  <c r="BF197" i="4"/>
  <c r="BD197" i="4"/>
  <c r="AX197" i="4"/>
  <c r="AW197" i="4"/>
  <c r="BC197" i="4" s="1"/>
  <c r="AP197" i="4"/>
  <c r="BI197" i="4" s="1"/>
  <c r="AE197" i="4" s="1"/>
  <c r="AO197" i="4"/>
  <c r="AK197" i="4"/>
  <c r="AJ197" i="4"/>
  <c r="AH197" i="4"/>
  <c r="AG197" i="4"/>
  <c r="AF197" i="4"/>
  <c r="AC197" i="4"/>
  <c r="AB197" i="4"/>
  <c r="Z197" i="4"/>
  <c r="J197" i="4"/>
  <c r="AL197" i="4" s="1"/>
  <c r="I197" i="4"/>
  <c r="H197" i="4"/>
  <c r="BJ196" i="4"/>
  <c r="BF196" i="4"/>
  <c r="BD196" i="4"/>
  <c r="AP196" i="4"/>
  <c r="BI196" i="4" s="1"/>
  <c r="AE196" i="4" s="1"/>
  <c r="AO196" i="4"/>
  <c r="H196" i="4" s="1"/>
  <c r="AK196" i="4"/>
  <c r="AJ196" i="4"/>
  <c r="AH196" i="4"/>
  <c r="AG196" i="4"/>
  <c r="AF196" i="4"/>
  <c r="AC196" i="4"/>
  <c r="AB196" i="4"/>
  <c r="Z196" i="4"/>
  <c r="J196" i="4"/>
  <c r="AL196" i="4" s="1"/>
  <c r="BJ195" i="4"/>
  <c r="BH195" i="4"/>
  <c r="AD195" i="4" s="1"/>
  <c r="BF195" i="4"/>
  <c r="BD195" i="4"/>
  <c r="AP195" i="4"/>
  <c r="I195" i="4" s="1"/>
  <c r="AO195" i="4"/>
  <c r="AW195" i="4" s="1"/>
  <c r="AK195" i="4"/>
  <c r="AJ195" i="4"/>
  <c r="AH195" i="4"/>
  <c r="AG195" i="4"/>
  <c r="AF195" i="4"/>
  <c r="AC195" i="4"/>
  <c r="AB195" i="4"/>
  <c r="Z195" i="4"/>
  <c r="J195" i="4"/>
  <c r="AL195" i="4" s="1"/>
  <c r="H195" i="4"/>
  <c r="BJ194" i="4"/>
  <c r="BF194" i="4"/>
  <c r="BD194" i="4"/>
  <c r="AP194" i="4"/>
  <c r="AX194" i="4" s="1"/>
  <c r="AO194" i="4"/>
  <c r="AW194" i="4" s="1"/>
  <c r="AL194" i="4"/>
  <c r="AK194" i="4"/>
  <c r="AJ194" i="4"/>
  <c r="AH194" i="4"/>
  <c r="AG194" i="4"/>
  <c r="AF194" i="4"/>
  <c r="AC194" i="4"/>
  <c r="AB194" i="4"/>
  <c r="Z194" i="4"/>
  <c r="J194" i="4"/>
  <c r="H194" i="4"/>
  <c r="BJ193" i="4"/>
  <c r="BF193" i="4"/>
  <c r="BD193" i="4"/>
  <c r="AP193" i="4"/>
  <c r="AX193" i="4" s="1"/>
  <c r="AO193" i="4"/>
  <c r="AW193" i="4" s="1"/>
  <c r="AL193" i="4"/>
  <c r="AK193" i="4"/>
  <c r="AJ193" i="4"/>
  <c r="AH193" i="4"/>
  <c r="AG193" i="4"/>
  <c r="AF193" i="4"/>
  <c r="AC193" i="4"/>
  <c r="AB193" i="4"/>
  <c r="Z193" i="4"/>
  <c r="J193" i="4"/>
  <c r="H193" i="4"/>
  <c r="BJ192" i="4"/>
  <c r="BF192" i="4"/>
  <c r="BD192" i="4"/>
  <c r="AP192" i="4"/>
  <c r="AX192" i="4" s="1"/>
  <c r="AO192" i="4"/>
  <c r="AW192" i="4" s="1"/>
  <c r="AK192" i="4"/>
  <c r="AJ192" i="4"/>
  <c r="AH192" i="4"/>
  <c r="AG192" i="4"/>
  <c r="AF192" i="4"/>
  <c r="AC192" i="4"/>
  <c r="AB192" i="4"/>
  <c r="Z192" i="4"/>
  <c r="J192" i="4"/>
  <c r="AL192" i="4" s="1"/>
  <c r="I192" i="4"/>
  <c r="BJ191" i="4"/>
  <c r="BF191" i="4"/>
  <c r="BD191" i="4"/>
  <c r="AP191" i="4"/>
  <c r="AX191" i="4" s="1"/>
  <c r="AO191" i="4"/>
  <c r="BH191" i="4" s="1"/>
  <c r="AD191" i="4" s="1"/>
  <c r="AK191" i="4"/>
  <c r="AJ191" i="4"/>
  <c r="AH191" i="4"/>
  <c r="AG191" i="4"/>
  <c r="AF191" i="4"/>
  <c r="AC191" i="4"/>
  <c r="AB191" i="4"/>
  <c r="Z191" i="4"/>
  <c r="J191" i="4"/>
  <c r="AL191" i="4" s="1"/>
  <c r="BJ190" i="4"/>
  <c r="BI190" i="4"/>
  <c r="AE190" i="4" s="1"/>
  <c r="BF190" i="4"/>
  <c r="BD190" i="4"/>
  <c r="AP190" i="4"/>
  <c r="AX190" i="4" s="1"/>
  <c r="AO190" i="4"/>
  <c r="BH190" i="4" s="1"/>
  <c r="AD190" i="4" s="1"/>
  <c r="AL190" i="4"/>
  <c r="AK190" i="4"/>
  <c r="AJ190" i="4"/>
  <c r="AH190" i="4"/>
  <c r="AG190" i="4"/>
  <c r="AF190" i="4"/>
  <c r="AC190" i="4"/>
  <c r="AB190" i="4"/>
  <c r="Z190" i="4"/>
  <c r="J190" i="4"/>
  <c r="H190" i="4"/>
  <c r="BJ189" i="4"/>
  <c r="BF189" i="4"/>
  <c r="BD189" i="4"/>
  <c r="AP189" i="4"/>
  <c r="BI189" i="4" s="1"/>
  <c r="AO189" i="4"/>
  <c r="AW189" i="4" s="1"/>
  <c r="AK189" i="4"/>
  <c r="AJ189" i="4"/>
  <c r="AH189" i="4"/>
  <c r="AG189" i="4"/>
  <c r="AF189" i="4"/>
  <c r="AE189" i="4"/>
  <c r="AC189" i="4"/>
  <c r="AB189" i="4"/>
  <c r="Z189" i="4"/>
  <c r="J189" i="4"/>
  <c r="AL189" i="4" s="1"/>
  <c r="I189" i="4"/>
  <c r="BJ188" i="4"/>
  <c r="BF188" i="4"/>
  <c r="BD188" i="4"/>
  <c r="AP188" i="4"/>
  <c r="AX188" i="4" s="1"/>
  <c r="AO188" i="4"/>
  <c r="AW188" i="4" s="1"/>
  <c r="AL188" i="4"/>
  <c r="AK188" i="4"/>
  <c r="AJ188" i="4"/>
  <c r="AH188" i="4"/>
  <c r="AG188" i="4"/>
  <c r="AF188" i="4"/>
  <c r="AC188" i="4"/>
  <c r="AB188" i="4"/>
  <c r="Z188" i="4"/>
  <c r="J188" i="4"/>
  <c r="I188" i="4"/>
  <c r="BJ187" i="4"/>
  <c r="BF187" i="4"/>
  <c r="BD187" i="4"/>
  <c r="AW187" i="4"/>
  <c r="AP187" i="4"/>
  <c r="AX187" i="4" s="1"/>
  <c r="AO187" i="4"/>
  <c r="BH187" i="4" s="1"/>
  <c r="AD187" i="4" s="1"/>
  <c r="AK187" i="4"/>
  <c r="AJ187" i="4"/>
  <c r="AS186" i="4" s="1"/>
  <c r="AH187" i="4"/>
  <c r="AG187" i="4"/>
  <c r="AF187" i="4"/>
  <c r="AC187" i="4"/>
  <c r="AB187" i="4"/>
  <c r="Z187" i="4"/>
  <c r="J187" i="4"/>
  <c r="AL187" i="4" s="1"/>
  <c r="BJ185" i="4"/>
  <c r="Z185" i="4" s="1"/>
  <c r="BF185" i="4"/>
  <c r="BD185" i="4"/>
  <c r="AP185" i="4"/>
  <c r="AX185" i="4" s="1"/>
  <c r="AO185" i="4"/>
  <c r="AW185" i="4" s="1"/>
  <c r="AK185" i="4"/>
  <c r="AJ185" i="4"/>
  <c r="AH185" i="4"/>
  <c r="AG185" i="4"/>
  <c r="AF185" i="4"/>
  <c r="AE185" i="4"/>
  <c r="AD185" i="4"/>
  <c r="AC185" i="4"/>
  <c r="AB185" i="4"/>
  <c r="J185" i="4"/>
  <c r="AL185" i="4" s="1"/>
  <c r="BJ184" i="4"/>
  <c r="BF184" i="4"/>
  <c r="BD184" i="4"/>
  <c r="AW184" i="4"/>
  <c r="BC184" i="4" s="1"/>
  <c r="AP184" i="4"/>
  <c r="AX184" i="4" s="1"/>
  <c r="AO184" i="4"/>
  <c r="BH184" i="4" s="1"/>
  <c r="AD184" i="4" s="1"/>
  <c r="AK184" i="4"/>
  <c r="AJ184" i="4"/>
  <c r="AH184" i="4"/>
  <c r="AG184" i="4"/>
  <c r="AF184" i="4"/>
  <c r="AC184" i="4"/>
  <c r="AB184" i="4"/>
  <c r="Z184" i="4"/>
  <c r="J184" i="4"/>
  <c r="AL184" i="4" s="1"/>
  <c r="BJ183" i="4"/>
  <c r="BF183" i="4"/>
  <c r="BD183" i="4"/>
  <c r="AP183" i="4"/>
  <c r="BI183" i="4" s="1"/>
  <c r="AE183" i="4" s="1"/>
  <c r="AO183" i="4"/>
  <c r="BH183" i="4" s="1"/>
  <c r="AD183" i="4" s="1"/>
  <c r="AK183" i="4"/>
  <c r="AJ183" i="4"/>
  <c r="AH183" i="4"/>
  <c r="AG183" i="4"/>
  <c r="AF183" i="4"/>
  <c r="AC183" i="4"/>
  <c r="AB183" i="4"/>
  <c r="Z183" i="4"/>
  <c r="J183" i="4"/>
  <c r="AL183" i="4" s="1"/>
  <c r="H183" i="4"/>
  <c r="BJ182" i="4"/>
  <c r="BF182" i="4"/>
  <c r="BD182" i="4"/>
  <c r="AW182" i="4"/>
  <c r="AP182" i="4"/>
  <c r="BI182" i="4" s="1"/>
  <c r="AE182" i="4" s="1"/>
  <c r="AO182" i="4"/>
  <c r="BH182" i="4" s="1"/>
  <c r="AD182" i="4" s="1"/>
  <c r="AK182" i="4"/>
  <c r="AJ182" i="4"/>
  <c r="AH182" i="4"/>
  <c r="AG182" i="4"/>
  <c r="AF182" i="4"/>
  <c r="AC182" i="4"/>
  <c r="AB182" i="4"/>
  <c r="Z182" i="4"/>
  <c r="J182" i="4"/>
  <c r="AL182" i="4" s="1"/>
  <c r="H182" i="4"/>
  <c r="BJ181" i="4"/>
  <c r="BF181" i="4"/>
  <c r="BD181" i="4"/>
  <c r="AX181" i="4"/>
  <c r="AW181" i="4"/>
  <c r="BC181" i="4" s="1"/>
  <c r="AP181" i="4"/>
  <c r="BI181" i="4" s="1"/>
  <c r="AE181" i="4" s="1"/>
  <c r="AO181" i="4"/>
  <c r="BH181" i="4" s="1"/>
  <c r="AD181" i="4" s="1"/>
  <c r="AK181" i="4"/>
  <c r="AJ181" i="4"/>
  <c r="AH181" i="4"/>
  <c r="AG181" i="4"/>
  <c r="AF181" i="4"/>
  <c r="AC181" i="4"/>
  <c r="AB181" i="4"/>
  <c r="Z181" i="4"/>
  <c r="J181" i="4"/>
  <c r="AL181" i="4" s="1"/>
  <c r="I181" i="4"/>
  <c r="H181" i="4"/>
  <c r="BJ180" i="4"/>
  <c r="BF180" i="4"/>
  <c r="BD180" i="4"/>
  <c r="AX180" i="4"/>
  <c r="AP180" i="4"/>
  <c r="BI180" i="4" s="1"/>
  <c r="AE180" i="4" s="1"/>
  <c r="AO180" i="4"/>
  <c r="H180" i="4" s="1"/>
  <c r="AL180" i="4"/>
  <c r="AK180" i="4"/>
  <c r="AJ180" i="4"/>
  <c r="AH180" i="4"/>
  <c r="AG180" i="4"/>
  <c r="AF180" i="4"/>
  <c r="AC180" i="4"/>
  <c r="AB180" i="4"/>
  <c r="Z180" i="4"/>
  <c r="J180" i="4"/>
  <c r="I180" i="4"/>
  <c r="BJ179" i="4"/>
  <c r="BF179" i="4"/>
  <c r="BD179" i="4"/>
  <c r="AX179" i="4"/>
  <c r="AP179" i="4"/>
  <c r="I179" i="4" s="1"/>
  <c r="AO179" i="4"/>
  <c r="AW179" i="4" s="1"/>
  <c r="AK179" i="4"/>
  <c r="AJ179" i="4"/>
  <c r="AH179" i="4"/>
  <c r="AG179" i="4"/>
  <c r="AF179" i="4"/>
  <c r="AC179" i="4"/>
  <c r="AB179" i="4"/>
  <c r="Z179" i="4"/>
  <c r="J179" i="4"/>
  <c r="AL179" i="4" s="1"/>
  <c r="BJ177" i="4"/>
  <c r="BF177" i="4"/>
  <c r="BD177" i="4"/>
  <c r="AX177" i="4"/>
  <c r="AW177" i="4"/>
  <c r="BC177" i="4" s="1"/>
  <c r="AP177" i="4"/>
  <c r="BI177" i="4" s="1"/>
  <c r="AO177" i="4"/>
  <c r="H177" i="4" s="1"/>
  <c r="AL177" i="4"/>
  <c r="AK177" i="4"/>
  <c r="AJ177" i="4"/>
  <c r="AH177" i="4"/>
  <c r="AG177" i="4"/>
  <c r="AF177" i="4"/>
  <c r="AE177" i="4"/>
  <c r="AD177" i="4"/>
  <c r="AC177" i="4"/>
  <c r="AB177" i="4"/>
  <c r="Z177" i="4"/>
  <c r="J177" i="4"/>
  <c r="I177" i="4"/>
  <c r="BJ176" i="4"/>
  <c r="BF176" i="4"/>
  <c r="BD176" i="4"/>
  <c r="AP176" i="4"/>
  <c r="I176" i="4" s="1"/>
  <c r="AO176" i="4"/>
  <c r="AW176" i="4" s="1"/>
  <c r="AK176" i="4"/>
  <c r="AJ176" i="4"/>
  <c r="AH176" i="4"/>
  <c r="AG176" i="4"/>
  <c r="AF176" i="4"/>
  <c r="AC176" i="4"/>
  <c r="AB176" i="4"/>
  <c r="Z176" i="4"/>
  <c r="J176" i="4"/>
  <c r="AL176" i="4" s="1"/>
  <c r="BJ175" i="4"/>
  <c r="BF175" i="4"/>
  <c r="BD175" i="4"/>
  <c r="AP175" i="4"/>
  <c r="AX175" i="4" s="1"/>
  <c r="AO175" i="4"/>
  <c r="BH175" i="4" s="1"/>
  <c r="AD175" i="4" s="1"/>
  <c r="AK175" i="4"/>
  <c r="AJ175" i="4"/>
  <c r="AH175" i="4"/>
  <c r="AG175" i="4"/>
  <c r="AF175" i="4"/>
  <c r="AC175" i="4"/>
  <c r="AB175" i="4"/>
  <c r="Z175" i="4"/>
  <c r="J175" i="4"/>
  <c r="AL175" i="4" s="1"/>
  <c r="BJ174" i="4"/>
  <c r="BF174" i="4"/>
  <c r="BD174" i="4"/>
  <c r="AP174" i="4"/>
  <c r="BI174" i="4" s="1"/>
  <c r="AE174" i="4" s="1"/>
  <c r="AO174" i="4"/>
  <c r="AW174" i="4" s="1"/>
  <c r="AK174" i="4"/>
  <c r="AT173" i="4" s="1"/>
  <c r="AJ174" i="4"/>
  <c r="AH174" i="4"/>
  <c r="AG174" i="4"/>
  <c r="AF174" i="4"/>
  <c r="AC174" i="4"/>
  <c r="AB174" i="4"/>
  <c r="Z174" i="4"/>
  <c r="J174" i="4"/>
  <c r="AL174" i="4" s="1"/>
  <c r="BJ172" i="4"/>
  <c r="BF172" i="4"/>
  <c r="BD172" i="4"/>
  <c r="AW172" i="4"/>
  <c r="AP172" i="4"/>
  <c r="AX172" i="4" s="1"/>
  <c r="AO172" i="4"/>
  <c r="BH172" i="4" s="1"/>
  <c r="AD172" i="4" s="1"/>
  <c r="AK172" i="4"/>
  <c r="AJ172" i="4"/>
  <c r="AH172" i="4"/>
  <c r="AG172" i="4"/>
  <c r="AF172" i="4"/>
  <c r="AC172" i="4"/>
  <c r="AB172" i="4"/>
  <c r="Z172" i="4"/>
  <c r="J172" i="4"/>
  <c r="AL172" i="4" s="1"/>
  <c r="H172" i="4"/>
  <c r="BJ171" i="4"/>
  <c r="BF171" i="4"/>
  <c r="BD171" i="4"/>
  <c r="AP171" i="4"/>
  <c r="BI171" i="4" s="1"/>
  <c r="AE171" i="4" s="1"/>
  <c r="AO171" i="4"/>
  <c r="BH171" i="4" s="1"/>
  <c r="AD171" i="4" s="1"/>
  <c r="AL171" i="4"/>
  <c r="AK171" i="4"/>
  <c r="AJ171" i="4"/>
  <c r="AH171" i="4"/>
  <c r="AG171" i="4"/>
  <c r="AF171" i="4"/>
  <c r="AC171" i="4"/>
  <c r="AB171" i="4"/>
  <c r="Z171" i="4"/>
  <c r="J171" i="4"/>
  <c r="I171" i="4"/>
  <c r="BJ170" i="4"/>
  <c r="BF170" i="4"/>
  <c r="BD170" i="4"/>
  <c r="AP170" i="4"/>
  <c r="AO170" i="4"/>
  <c r="BH170" i="4" s="1"/>
  <c r="AD170" i="4" s="1"/>
  <c r="AL170" i="4"/>
  <c r="AK170" i="4"/>
  <c r="AJ170" i="4"/>
  <c r="AH170" i="4"/>
  <c r="AG170" i="4"/>
  <c r="AF170" i="4"/>
  <c r="AC170" i="4"/>
  <c r="AB170" i="4"/>
  <c r="Z170" i="4"/>
  <c r="J170" i="4"/>
  <c r="BJ169" i="4"/>
  <c r="BF169" i="4"/>
  <c r="BD169" i="4"/>
  <c r="AP169" i="4"/>
  <c r="BI169" i="4" s="1"/>
  <c r="AE169" i="4" s="1"/>
  <c r="AO169" i="4"/>
  <c r="BH169" i="4" s="1"/>
  <c r="AD169" i="4" s="1"/>
  <c r="AK169" i="4"/>
  <c r="AJ169" i="4"/>
  <c r="AH169" i="4"/>
  <c r="AG169" i="4"/>
  <c r="AF169" i="4"/>
  <c r="AC169" i="4"/>
  <c r="AB169" i="4"/>
  <c r="Z169" i="4"/>
  <c r="J169" i="4"/>
  <c r="AL169" i="4" s="1"/>
  <c r="H169" i="4"/>
  <c r="BJ168" i="4"/>
  <c r="BF168" i="4"/>
  <c r="BD168" i="4"/>
  <c r="AP168" i="4"/>
  <c r="BI168" i="4" s="1"/>
  <c r="AE168" i="4" s="1"/>
  <c r="AO168" i="4"/>
  <c r="BH168" i="4" s="1"/>
  <c r="AD168" i="4" s="1"/>
  <c r="AL168" i="4"/>
  <c r="AK168" i="4"/>
  <c r="AJ168" i="4"/>
  <c r="AH168" i="4"/>
  <c r="AG168" i="4"/>
  <c r="AF168" i="4"/>
  <c r="AC168" i="4"/>
  <c r="AB168" i="4"/>
  <c r="Z168" i="4"/>
  <c r="J168" i="4"/>
  <c r="I168" i="4"/>
  <c r="BJ167" i="4"/>
  <c r="BF167" i="4"/>
  <c r="BD167" i="4"/>
  <c r="AX167" i="4"/>
  <c r="AV167" i="4" s="1"/>
  <c r="AW167" i="4"/>
  <c r="AP167" i="4"/>
  <c r="BI167" i="4" s="1"/>
  <c r="AE167" i="4" s="1"/>
  <c r="AO167" i="4"/>
  <c r="BH167" i="4" s="1"/>
  <c r="AD167" i="4" s="1"/>
  <c r="AK167" i="4"/>
  <c r="AJ167" i="4"/>
  <c r="AH167" i="4"/>
  <c r="AG167" i="4"/>
  <c r="AF167" i="4"/>
  <c r="AC167" i="4"/>
  <c r="AB167" i="4"/>
  <c r="Z167" i="4"/>
  <c r="J167" i="4"/>
  <c r="AL167" i="4" s="1"/>
  <c r="I167" i="4"/>
  <c r="BJ166" i="4"/>
  <c r="BF166" i="4"/>
  <c r="BD166" i="4"/>
  <c r="AW166" i="4"/>
  <c r="AP166" i="4"/>
  <c r="BI166" i="4" s="1"/>
  <c r="AE166" i="4" s="1"/>
  <c r="AO166" i="4"/>
  <c r="H166" i="4" s="1"/>
  <c r="AK166" i="4"/>
  <c r="AJ166" i="4"/>
  <c r="AH166" i="4"/>
  <c r="AG166" i="4"/>
  <c r="AF166" i="4"/>
  <c r="AC166" i="4"/>
  <c r="AB166" i="4"/>
  <c r="Z166" i="4"/>
  <c r="J166" i="4"/>
  <c r="AL166" i="4" s="1"/>
  <c r="I166" i="4"/>
  <c r="BJ165" i="4"/>
  <c r="BF165" i="4"/>
  <c r="BD165" i="4"/>
  <c r="AX165" i="4"/>
  <c r="AP165" i="4"/>
  <c r="I165" i="4" s="1"/>
  <c r="AO165" i="4"/>
  <c r="AW165" i="4" s="1"/>
  <c r="AK165" i="4"/>
  <c r="AJ165" i="4"/>
  <c r="AH165" i="4"/>
  <c r="AG165" i="4"/>
  <c r="AF165" i="4"/>
  <c r="AC165" i="4"/>
  <c r="AB165" i="4"/>
  <c r="Z165" i="4"/>
  <c r="J165" i="4"/>
  <c r="AL165" i="4" s="1"/>
  <c r="BJ164" i="4"/>
  <c r="BF164" i="4"/>
  <c r="BD164" i="4"/>
  <c r="AP164" i="4"/>
  <c r="AX164" i="4" s="1"/>
  <c r="AO164" i="4"/>
  <c r="BH164" i="4" s="1"/>
  <c r="AD164" i="4" s="1"/>
  <c r="AK164" i="4"/>
  <c r="AJ164" i="4"/>
  <c r="AH164" i="4"/>
  <c r="AG164" i="4"/>
  <c r="AF164" i="4"/>
  <c r="AC164" i="4"/>
  <c r="AB164" i="4"/>
  <c r="Z164" i="4"/>
  <c r="J164" i="4"/>
  <c r="AL164" i="4" s="1"/>
  <c r="BJ163" i="4"/>
  <c r="BF163" i="4"/>
  <c r="BD163" i="4"/>
  <c r="AP163" i="4"/>
  <c r="BI163" i="4" s="1"/>
  <c r="AE163" i="4" s="1"/>
  <c r="AO163" i="4"/>
  <c r="AW163" i="4" s="1"/>
  <c r="AK163" i="4"/>
  <c r="AJ163" i="4"/>
  <c r="AH163" i="4"/>
  <c r="AG163" i="4"/>
  <c r="AF163" i="4"/>
  <c r="AC163" i="4"/>
  <c r="AB163" i="4"/>
  <c r="Z163" i="4"/>
  <c r="J163" i="4"/>
  <c r="AL163" i="4" s="1"/>
  <c r="BJ162" i="4"/>
  <c r="BF162" i="4"/>
  <c r="BD162" i="4"/>
  <c r="AP162" i="4"/>
  <c r="AX162" i="4" s="1"/>
  <c r="AO162" i="4"/>
  <c r="BH162" i="4" s="1"/>
  <c r="AD162" i="4" s="1"/>
  <c r="AL162" i="4"/>
  <c r="AK162" i="4"/>
  <c r="AJ162" i="4"/>
  <c r="AH162" i="4"/>
  <c r="AG162" i="4"/>
  <c r="AF162" i="4"/>
  <c r="AC162" i="4"/>
  <c r="AB162" i="4"/>
  <c r="Z162" i="4"/>
  <c r="J162" i="4"/>
  <c r="BJ161" i="4"/>
  <c r="BF161" i="4"/>
  <c r="BD161" i="4"/>
  <c r="AP161" i="4"/>
  <c r="BI161" i="4" s="1"/>
  <c r="AE161" i="4" s="1"/>
  <c r="AO161" i="4"/>
  <c r="BH161" i="4" s="1"/>
  <c r="AD161" i="4" s="1"/>
  <c r="AK161" i="4"/>
  <c r="AJ161" i="4"/>
  <c r="AH161" i="4"/>
  <c r="AG161" i="4"/>
  <c r="AF161" i="4"/>
  <c r="AC161" i="4"/>
  <c r="AB161" i="4"/>
  <c r="Z161" i="4"/>
  <c r="J161" i="4"/>
  <c r="AL161" i="4" s="1"/>
  <c r="BJ160" i="4"/>
  <c r="BF160" i="4"/>
  <c r="BD160" i="4"/>
  <c r="AW160" i="4"/>
  <c r="AP160" i="4"/>
  <c r="BI160" i="4" s="1"/>
  <c r="AE160" i="4" s="1"/>
  <c r="AO160" i="4"/>
  <c r="BH160" i="4" s="1"/>
  <c r="AD160" i="4" s="1"/>
  <c r="AK160" i="4"/>
  <c r="AJ160" i="4"/>
  <c r="AH160" i="4"/>
  <c r="AG160" i="4"/>
  <c r="AF160" i="4"/>
  <c r="AC160" i="4"/>
  <c r="AB160" i="4"/>
  <c r="Z160" i="4"/>
  <c r="J160" i="4"/>
  <c r="AL160" i="4" s="1"/>
  <c r="I160" i="4"/>
  <c r="H160" i="4"/>
  <c r="BJ159" i="4"/>
  <c r="BF159" i="4"/>
  <c r="BD159" i="4"/>
  <c r="AX159" i="4"/>
  <c r="AP159" i="4"/>
  <c r="BI159" i="4" s="1"/>
  <c r="AE159" i="4" s="1"/>
  <c r="AO159" i="4"/>
  <c r="BH159" i="4" s="1"/>
  <c r="AD159" i="4" s="1"/>
  <c r="AK159" i="4"/>
  <c r="AJ159" i="4"/>
  <c r="AH159" i="4"/>
  <c r="AG159" i="4"/>
  <c r="AF159" i="4"/>
  <c r="AC159" i="4"/>
  <c r="AB159" i="4"/>
  <c r="Z159" i="4"/>
  <c r="J159" i="4"/>
  <c r="AL159" i="4" s="1"/>
  <c r="I159" i="4"/>
  <c r="BJ158" i="4"/>
  <c r="BF158" i="4"/>
  <c r="BD158" i="4"/>
  <c r="AW158" i="4"/>
  <c r="AP158" i="4"/>
  <c r="BI158" i="4" s="1"/>
  <c r="AE158" i="4" s="1"/>
  <c r="AO158" i="4"/>
  <c r="H158" i="4" s="1"/>
  <c r="AL158" i="4"/>
  <c r="AK158" i="4"/>
  <c r="AJ158" i="4"/>
  <c r="AH158" i="4"/>
  <c r="AG158" i="4"/>
  <c r="AF158" i="4"/>
  <c r="AC158" i="4"/>
  <c r="AB158" i="4"/>
  <c r="Z158" i="4"/>
  <c r="J158" i="4"/>
  <c r="I158" i="4"/>
  <c r="BJ157" i="4"/>
  <c r="BH157" i="4"/>
  <c r="AD157" i="4" s="1"/>
  <c r="BF157" i="4"/>
  <c r="BD157" i="4"/>
  <c r="AP157" i="4"/>
  <c r="I157" i="4" s="1"/>
  <c r="AO157" i="4"/>
  <c r="AK157" i="4"/>
  <c r="AJ157" i="4"/>
  <c r="AH157" i="4"/>
  <c r="AG157" i="4"/>
  <c r="AF157" i="4"/>
  <c r="AC157" i="4"/>
  <c r="AB157" i="4"/>
  <c r="Z157" i="4"/>
  <c r="J157" i="4"/>
  <c r="AL157" i="4" s="1"/>
  <c r="BJ156" i="4"/>
  <c r="BI156" i="4"/>
  <c r="AE156" i="4" s="1"/>
  <c r="BF156" i="4"/>
  <c r="BD156" i="4"/>
  <c r="AP156" i="4"/>
  <c r="AO156" i="4"/>
  <c r="BH156" i="4" s="1"/>
  <c r="AD156" i="4" s="1"/>
  <c r="AK156" i="4"/>
  <c r="AJ156" i="4"/>
  <c r="AH156" i="4"/>
  <c r="AG156" i="4"/>
  <c r="AF156" i="4"/>
  <c r="AC156" i="4"/>
  <c r="AB156" i="4"/>
  <c r="Z156" i="4"/>
  <c r="J156" i="4"/>
  <c r="AL156" i="4" s="1"/>
  <c r="BJ155" i="4"/>
  <c r="BF155" i="4"/>
  <c r="BD155" i="4"/>
  <c r="AP155" i="4"/>
  <c r="BI155" i="4" s="1"/>
  <c r="AE155" i="4" s="1"/>
  <c r="AO155" i="4"/>
  <c r="AW155" i="4" s="1"/>
  <c r="AL155" i="4"/>
  <c r="AK155" i="4"/>
  <c r="AJ155" i="4"/>
  <c r="AH155" i="4"/>
  <c r="AG155" i="4"/>
  <c r="AF155" i="4"/>
  <c r="AC155" i="4"/>
  <c r="AB155" i="4"/>
  <c r="Z155" i="4"/>
  <c r="J155" i="4"/>
  <c r="I155" i="4"/>
  <c r="H155" i="4"/>
  <c r="BJ153" i="4"/>
  <c r="BI153" i="4"/>
  <c r="AE153" i="4" s="1"/>
  <c r="BF153" i="4"/>
  <c r="BD153" i="4"/>
  <c r="AP153" i="4"/>
  <c r="AX153" i="4" s="1"/>
  <c r="AO153" i="4"/>
  <c r="BH153" i="4" s="1"/>
  <c r="AD153" i="4" s="1"/>
  <c r="AL153" i="4"/>
  <c r="AK153" i="4"/>
  <c r="AJ153" i="4"/>
  <c r="AH153" i="4"/>
  <c r="AG153" i="4"/>
  <c r="AF153" i="4"/>
  <c r="AC153" i="4"/>
  <c r="AB153" i="4"/>
  <c r="Z153" i="4"/>
  <c r="J153" i="4"/>
  <c r="BJ151" i="4"/>
  <c r="Z151" i="4" s="1"/>
  <c r="BF151" i="4"/>
  <c r="BD151" i="4"/>
  <c r="AX151" i="4"/>
  <c r="AP151" i="4"/>
  <c r="BI151" i="4" s="1"/>
  <c r="AO151" i="4"/>
  <c r="AW151" i="4" s="1"/>
  <c r="BC151" i="4" s="1"/>
  <c r="AL151" i="4"/>
  <c r="AU149" i="4" s="1"/>
  <c r="AK151" i="4"/>
  <c r="AJ151" i="4"/>
  <c r="AH151" i="4"/>
  <c r="AG151" i="4"/>
  <c r="AF151" i="4"/>
  <c r="AE151" i="4"/>
  <c r="AD151" i="4"/>
  <c r="AC151" i="4"/>
  <c r="AB151" i="4"/>
  <c r="J151" i="4"/>
  <c r="I151" i="4"/>
  <c r="BJ150" i="4"/>
  <c r="BF150" i="4"/>
  <c r="BD150" i="4"/>
  <c r="AP150" i="4"/>
  <c r="AX150" i="4" s="1"/>
  <c r="AO150" i="4"/>
  <c r="BH150" i="4" s="1"/>
  <c r="AD150" i="4" s="1"/>
  <c r="AL150" i="4"/>
  <c r="AK150" i="4"/>
  <c r="AJ150" i="4"/>
  <c r="AS149" i="4" s="1"/>
  <c r="AH150" i="4"/>
  <c r="AG150" i="4"/>
  <c r="AF150" i="4"/>
  <c r="AC150" i="4"/>
  <c r="AB150" i="4"/>
  <c r="Z150" i="4"/>
  <c r="J150" i="4"/>
  <c r="I150" i="4"/>
  <c r="BJ148" i="4"/>
  <c r="Z148" i="4" s="1"/>
  <c r="BF148" i="4"/>
  <c r="BD148" i="4"/>
  <c r="AX148" i="4"/>
  <c r="AV148" i="4" s="1"/>
  <c r="AP148" i="4"/>
  <c r="BI148" i="4" s="1"/>
  <c r="AO148" i="4"/>
  <c r="AW148" i="4" s="1"/>
  <c r="AK148" i="4"/>
  <c r="AJ148" i="4"/>
  <c r="AH148" i="4"/>
  <c r="AG148" i="4"/>
  <c r="AF148" i="4"/>
  <c r="AE148" i="4"/>
  <c r="AD148" i="4"/>
  <c r="AC148" i="4"/>
  <c r="AB148" i="4"/>
  <c r="J148" i="4"/>
  <c r="AL148" i="4" s="1"/>
  <c r="I148" i="4"/>
  <c r="H148" i="4"/>
  <c r="BJ147" i="4"/>
  <c r="BF147" i="4"/>
  <c r="BD147" i="4"/>
  <c r="AP147" i="4"/>
  <c r="AX147" i="4" s="1"/>
  <c r="AO147" i="4"/>
  <c r="BH147" i="4" s="1"/>
  <c r="AD147" i="4" s="1"/>
  <c r="AL147" i="4"/>
  <c r="AK147" i="4"/>
  <c r="AJ147" i="4"/>
  <c r="AH147" i="4"/>
  <c r="AG147" i="4"/>
  <c r="AF147" i="4"/>
  <c r="AC147" i="4"/>
  <c r="AB147" i="4"/>
  <c r="Z147" i="4"/>
  <c r="J147" i="4"/>
  <c r="I147" i="4"/>
  <c r="BJ146" i="4"/>
  <c r="BF146" i="4"/>
  <c r="BD146" i="4"/>
  <c r="AX146" i="4"/>
  <c r="AP146" i="4"/>
  <c r="BI146" i="4" s="1"/>
  <c r="AE146" i="4" s="1"/>
  <c r="AO146" i="4"/>
  <c r="BH146" i="4" s="1"/>
  <c r="AD146" i="4" s="1"/>
  <c r="AK146" i="4"/>
  <c r="AJ146" i="4"/>
  <c r="AH146" i="4"/>
  <c r="AG146" i="4"/>
  <c r="AF146" i="4"/>
  <c r="AC146" i="4"/>
  <c r="AB146" i="4"/>
  <c r="Z146" i="4"/>
  <c r="J146" i="4"/>
  <c r="AL146" i="4" s="1"/>
  <c r="H146" i="4"/>
  <c r="BJ145" i="4"/>
  <c r="BF145" i="4"/>
  <c r="BD145" i="4"/>
  <c r="AP145" i="4"/>
  <c r="BI145" i="4" s="1"/>
  <c r="AE145" i="4" s="1"/>
  <c r="AO145" i="4"/>
  <c r="BH145" i="4" s="1"/>
  <c r="AD145" i="4" s="1"/>
  <c r="AL145" i="4"/>
  <c r="AK145" i="4"/>
  <c r="AJ145" i="4"/>
  <c r="AH145" i="4"/>
  <c r="AG145" i="4"/>
  <c r="AF145" i="4"/>
  <c r="AC145" i="4"/>
  <c r="AB145" i="4"/>
  <c r="Z145" i="4"/>
  <c r="J145" i="4"/>
  <c r="I145" i="4"/>
  <c r="H145" i="4"/>
  <c r="BJ144" i="4"/>
  <c r="BF144" i="4"/>
  <c r="BD144" i="4"/>
  <c r="AX144" i="4"/>
  <c r="AP144" i="4"/>
  <c r="BI144" i="4" s="1"/>
  <c r="AE144" i="4" s="1"/>
  <c r="AO144" i="4"/>
  <c r="AW144" i="4" s="1"/>
  <c r="AK144" i="4"/>
  <c r="AJ144" i="4"/>
  <c r="AH144" i="4"/>
  <c r="AG144" i="4"/>
  <c r="AF144" i="4"/>
  <c r="AC144" i="4"/>
  <c r="AB144" i="4"/>
  <c r="Z144" i="4"/>
  <c r="J144" i="4"/>
  <c r="AL144" i="4" s="1"/>
  <c r="I144" i="4"/>
  <c r="BJ143" i="4"/>
  <c r="BF143" i="4"/>
  <c r="BD143" i="4"/>
  <c r="AW143" i="4"/>
  <c r="AP143" i="4"/>
  <c r="AX143" i="4" s="1"/>
  <c r="AO143" i="4"/>
  <c r="H143" i="4" s="1"/>
  <c r="AK143" i="4"/>
  <c r="AJ143" i="4"/>
  <c r="AH143" i="4"/>
  <c r="AG143" i="4"/>
  <c r="AF143" i="4"/>
  <c r="AC143" i="4"/>
  <c r="AB143" i="4"/>
  <c r="Z143" i="4"/>
  <c r="J143" i="4"/>
  <c r="AL143" i="4" s="1"/>
  <c r="I143" i="4"/>
  <c r="BJ142" i="4"/>
  <c r="BF142" i="4"/>
  <c r="BD142" i="4"/>
  <c r="AP142" i="4"/>
  <c r="I142" i="4" s="1"/>
  <c r="AO142" i="4"/>
  <c r="BH142" i="4" s="1"/>
  <c r="AD142" i="4" s="1"/>
  <c r="AK142" i="4"/>
  <c r="AJ142" i="4"/>
  <c r="AH142" i="4"/>
  <c r="AG142" i="4"/>
  <c r="AF142" i="4"/>
  <c r="AC142" i="4"/>
  <c r="AB142" i="4"/>
  <c r="Z142" i="4"/>
  <c r="J142" i="4"/>
  <c r="AL142" i="4" s="1"/>
  <c r="BJ141" i="4"/>
  <c r="BF141" i="4"/>
  <c r="BD141" i="4"/>
  <c r="AW141" i="4"/>
  <c r="AP141" i="4"/>
  <c r="BI141" i="4" s="1"/>
  <c r="AE141" i="4" s="1"/>
  <c r="AO141" i="4"/>
  <c r="BH141" i="4" s="1"/>
  <c r="AD141" i="4" s="1"/>
  <c r="AK141" i="4"/>
  <c r="AJ141" i="4"/>
  <c r="AH141" i="4"/>
  <c r="AG141" i="4"/>
  <c r="AF141" i="4"/>
  <c r="AC141" i="4"/>
  <c r="AB141" i="4"/>
  <c r="Z141" i="4"/>
  <c r="J141" i="4"/>
  <c r="AL141" i="4" s="1"/>
  <c r="BJ140" i="4"/>
  <c r="BF140" i="4"/>
  <c r="BD140" i="4"/>
  <c r="AX140" i="4"/>
  <c r="AP140" i="4"/>
  <c r="BI140" i="4" s="1"/>
  <c r="AE140" i="4" s="1"/>
  <c r="AO140" i="4"/>
  <c r="AW140" i="4" s="1"/>
  <c r="BC140" i="4" s="1"/>
  <c r="AK140" i="4"/>
  <c r="AJ140" i="4"/>
  <c r="AH140" i="4"/>
  <c r="AG140" i="4"/>
  <c r="AF140" i="4"/>
  <c r="AC140" i="4"/>
  <c r="AB140" i="4"/>
  <c r="Z140" i="4"/>
  <c r="J140" i="4"/>
  <c r="AL140" i="4" s="1"/>
  <c r="I140" i="4"/>
  <c r="BJ139" i="4"/>
  <c r="BF139" i="4"/>
  <c r="BD139" i="4"/>
  <c r="AW139" i="4"/>
  <c r="AP139" i="4"/>
  <c r="AX139" i="4" s="1"/>
  <c r="AO139" i="4"/>
  <c r="BH139" i="4" s="1"/>
  <c r="AD139" i="4" s="1"/>
  <c r="AK139" i="4"/>
  <c r="AJ139" i="4"/>
  <c r="AH139" i="4"/>
  <c r="AG139" i="4"/>
  <c r="AF139" i="4"/>
  <c r="AC139" i="4"/>
  <c r="AB139" i="4"/>
  <c r="Z139" i="4"/>
  <c r="J139" i="4"/>
  <c r="AL139" i="4" s="1"/>
  <c r="I139" i="4"/>
  <c r="BJ138" i="4"/>
  <c r="BF138" i="4"/>
  <c r="BD138" i="4"/>
  <c r="AP138" i="4"/>
  <c r="BI138" i="4" s="1"/>
  <c r="AE138" i="4" s="1"/>
  <c r="AO138" i="4"/>
  <c r="AW138" i="4" s="1"/>
  <c r="AK138" i="4"/>
  <c r="AJ138" i="4"/>
  <c r="AH138" i="4"/>
  <c r="AG138" i="4"/>
  <c r="AF138" i="4"/>
  <c r="AC138" i="4"/>
  <c r="AB138" i="4"/>
  <c r="Z138" i="4"/>
  <c r="J138" i="4"/>
  <c r="AL138" i="4" s="1"/>
  <c r="BJ137" i="4"/>
  <c r="BF137" i="4"/>
  <c r="BD137" i="4"/>
  <c r="AP137" i="4"/>
  <c r="AX137" i="4" s="1"/>
  <c r="AO137" i="4"/>
  <c r="BH137" i="4" s="1"/>
  <c r="AD137" i="4" s="1"/>
  <c r="AL137" i="4"/>
  <c r="AK137" i="4"/>
  <c r="AJ137" i="4"/>
  <c r="AH137" i="4"/>
  <c r="AG137" i="4"/>
  <c r="AF137" i="4"/>
  <c r="AC137" i="4"/>
  <c r="AB137" i="4"/>
  <c r="Z137" i="4"/>
  <c r="J137" i="4"/>
  <c r="BJ136" i="4"/>
  <c r="BF136" i="4"/>
  <c r="BD136" i="4"/>
  <c r="AX136" i="4"/>
  <c r="AP136" i="4"/>
  <c r="BI136" i="4" s="1"/>
  <c r="AE136" i="4" s="1"/>
  <c r="AO136" i="4"/>
  <c r="AW136" i="4" s="1"/>
  <c r="AV136" i="4" s="1"/>
  <c r="AK136" i="4"/>
  <c r="AJ136" i="4"/>
  <c r="AH136" i="4"/>
  <c r="AG136" i="4"/>
  <c r="AF136" i="4"/>
  <c r="AC136" i="4"/>
  <c r="AB136" i="4"/>
  <c r="Z136" i="4"/>
  <c r="J136" i="4"/>
  <c r="AL136" i="4" s="1"/>
  <c r="BJ135" i="4"/>
  <c r="BF135" i="4"/>
  <c r="BD135" i="4"/>
  <c r="AW135" i="4"/>
  <c r="AP135" i="4"/>
  <c r="AX135" i="4" s="1"/>
  <c r="BC135" i="4" s="1"/>
  <c r="AO135" i="4"/>
  <c r="H135" i="4" s="1"/>
  <c r="AL135" i="4"/>
  <c r="AK135" i="4"/>
  <c r="AJ135" i="4"/>
  <c r="AH135" i="4"/>
  <c r="AG135" i="4"/>
  <c r="AF135" i="4"/>
  <c r="AC135" i="4"/>
  <c r="AB135" i="4"/>
  <c r="Z135" i="4"/>
  <c r="J135" i="4"/>
  <c r="I135" i="4"/>
  <c r="BJ134" i="4"/>
  <c r="BH134" i="4"/>
  <c r="AD134" i="4" s="1"/>
  <c r="BF134" i="4"/>
  <c r="BD134" i="4"/>
  <c r="AX134" i="4"/>
  <c r="AP134" i="4"/>
  <c r="I134" i="4" s="1"/>
  <c r="AO134" i="4"/>
  <c r="AK134" i="4"/>
  <c r="AJ134" i="4"/>
  <c r="AH134" i="4"/>
  <c r="AG134" i="4"/>
  <c r="AF134" i="4"/>
  <c r="AC134" i="4"/>
  <c r="AB134" i="4"/>
  <c r="Z134" i="4"/>
  <c r="J134" i="4"/>
  <c r="BJ133" i="4"/>
  <c r="BF133" i="4"/>
  <c r="BD133" i="4"/>
  <c r="AP133" i="4"/>
  <c r="BI133" i="4" s="1"/>
  <c r="AE133" i="4" s="1"/>
  <c r="AO133" i="4"/>
  <c r="BH133" i="4" s="1"/>
  <c r="AD133" i="4" s="1"/>
  <c r="AL133" i="4"/>
  <c r="AK133" i="4"/>
  <c r="AJ133" i="4"/>
  <c r="AH133" i="4"/>
  <c r="AG133" i="4"/>
  <c r="AF133" i="4"/>
  <c r="AC133" i="4"/>
  <c r="AB133" i="4"/>
  <c r="Z133" i="4"/>
  <c r="J133" i="4"/>
  <c r="H133" i="4"/>
  <c r="BJ131" i="4"/>
  <c r="Z131" i="4" s="1"/>
  <c r="BF131" i="4"/>
  <c r="BD131" i="4"/>
  <c r="AX131" i="4"/>
  <c r="AP131" i="4"/>
  <c r="I131" i="4" s="1"/>
  <c r="AO131" i="4"/>
  <c r="BH131" i="4" s="1"/>
  <c r="AK131" i="4"/>
  <c r="AJ131" i="4"/>
  <c r="AH131" i="4"/>
  <c r="AG131" i="4"/>
  <c r="AF131" i="4"/>
  <c r="AE131" i="4"/>
  <c r="AD131" i="4"/>
  <c r="AC131" i="4"/>
  <c r="AB131" i="4"/>
  <c r="J131" i="4"/>
  <c r="AL131" i="4" s="1"/>
  <c r="BJ130" i="4"/>
  <c r="BF130" i="4"/>
  <c r="BD130" i="4"/>
  <c r="AW130" i="4"/>
  <c r="AP130" i="4"/>
  <c r="BI130" i="4" s="1"/>
  <c r="AE130" i="4" s="1"/>
  <c r="AO130" i="4"/>
  <c r="BH130" i="4" s="1"/>
  <c r="AD130" i="4" s="1"/>
  <c r="AL130" i="4"/>
  <c r="AK130" i="4"/>
  <c r="AJ130" i="4"/>
  <c r="AH130" i="4"/>
  <c r="AG130" i="4"/>
  <c r="AF130" i="4"/>
  <c r="AC130" i="4"/>
  <c r="AB130" i="4"/>
  <c r="Z130" i="4"/>
  <c r="J130" i="4"/>
  <c r="H130" i="4"/>
  <c r="BJ129" i="4"/>
  <c r="BF129" i="4"/>
  <c r="BD129" i="4"/>
  <c r="AX129" i="4"/>
  <c r="AP129" i="4"/>
  <c r="BI129" i="4" s="1"/>
  <c r="AE129" i="4" s="1"/>
  <c r="AO129" i="4"/>
  <c r="AW129" i="4" s="1"/>
  <c r="BC129" i="4" s="1"/>
  <c r="AK129" i="4"/>
  <c r="AJ129" i="4"/>
  <c r="AH129" i="4"/>
  <c r="AG129" i="4"/>
  <c r="AF129" i="4"/>
  <c r="AC129" i="4"/>
  <c r="AB129" i="4"/>
  <c r="Z129" i="4"/>
  <c r="J129" i="4"/>
  <c r="AL129" i="4" s="1"/>
  <c r="I129" i="4"/>
  <c r="BJ128" i="4"/>
  <c r="BI128" i="4"/>
  <c r="AE128" i="4" s="1"/>
  <c r="BF128" i="4"/>
  <c r="BD128" i="4"/>
  <c r="AP128" i="4"/>
  <c r="AX128" i="4" s="1"/>
  <c r="AO128" i="4"/>
  <c r="BH128" i="4" s="1"/>
  <c r="AD128" i="4" s="1"/>
  <c r="AK128" i="4"/>
  <c r="AJ128" i="4"/>
  <c r="AH128" i="4"/>
  <c r="AG128" i="4"/>
  <c r="AF128" i="4"/>
  <c r="AC128" i="4"/>
  <c r="AB128" i="4"/>
  <c r="Z128" i="4"/>
  <c r="J128" i="4"/>
  <c r="AL128" i="4" s="1"/>
  <c r="I128" i="4"/>
  <c r="BJ127" i="4"/>
  <c r="BF127" i="4"/>
  <c r="BD127" i="4"/>
  <c r="AP127" i="4"/>
  <c r="BI127" i="4" s="1"/>
  <c r="AE127" i="4" s="1"/>
  <c r="AO127" i="4"/>
  <c r="AW127" i="4" s="1"/>
  <c r="AK127" i="4"/>
  <c r="AJ127" i="4"/>
  <c r="AH127" i="4"/>
  <c r="AG127" i="4"/>
  <c r="AF127" i="4"/>
  <c r="AC127" i="4"/>
  <c r="AB127" i="4"/>
  <c r="Z127" i="4"/>
  <c r="J127" i="4"/>
  <c r="AL127" i="4" s="1"/>
  <c r="BJ126" i="4"/>
  <c r="BF126" i="4"/>
  <c r="BD126" i="4"/>
  <c r="BC126" i="4"/>
  <c r="AW126" i="4"/>
  <c r="AP126" i="4"/>
  <c r="AX126" i="4" s="1"/>
  <c r="AO126" i="4"/>
  <c r="BH126" i="4" s="1"/>
  <c r="AD126" i="4" s="1"/>
  <c r="AK126" i="4"/>
  <c r="AJ126" i="4"/>
  <c r="AH126" i="4"/>
  <c r="AG126" i="4"/>
  <c r="AF126" i="4"/>
  <c r="AC126" i="4"/>
  <c r="AB126" i="4"/>
  <c r="Z126" i="4"/>
  <c r="J126" i="4"/>
  <c r="AL126" i="4" s="1"/>
  <c r="H126" i="4"/>
  <c r="BJ125" i="4"/>
  <c r="BF125" i="4"/>
  <c r="BD125" i="4"/>
  <c r="AP125" i="4"/>
  <c r="BI125" i="4" s="1"/>
  <c r="AE125" i="4" s="1"/>
  <c r="AO125" i="4"/>
  <c r="AW125" i="4" s="1"/>
  <c r="AK125" i="4"/>
  <c r="AJ125" i="4"/>
  <c r="AH125" i="4"/>
  <c r="AG125" i="4"/>
  <c r="AF125" i="4"/>
  <c r="AC125" i="4"/>
  <c r="AB125" i="4"/>
  <c r="Z125" i="4"/>
  <c r="J125" i="4"/>
  <c r="AL125" i="4" s="1"/>
  <c r="BJ124" i="4"/>
  <c r="BF124" i="4"/>
  <c r="BD124" i="4"/>
  <c r="BC124" i="4"/>
  <c r="AW124" i="4"/>
  <c r="AV124" i="4" s="1"/>
  <c r="AP124" i="4"/>
  <c r="AX124" i="4" s="1"/>
  <c r="AO124" i="4"/>
  <c r="H124" i="4" s="1"/>
  <c r="AK124" i="4"/>
  <c r="AJ124" i="4"/>
  <c r="AH124" i="4"/>
  <c r="AG124" i="4"/>
  <c r="AF124" i="4"/>
  <c r="AC124" i="4"/>
  <c r="AB124" i="4"/>
  <c r="Z124" i="4"/>
  <c r="J124" i="4"/>
  <c r="AL124" i="4" s="1"/>
  <c r="I124" i="4"/>
  <c r="BJ123" i="4"/>
  <c r="BF123" i="4"/>
  <c r="BD123" i="4"/>
  <c r="AP123" i="4"/>
  <c r="I123" i="4" s="1"/>
  <c r="AO123" i="4"/>
  <c r="AW123" i="4" s="1"/>
  <c r="AK123" i="4"/>
  <c r="AJ123" i="4"/>
  <c r="AH123" i="4"/>
  <c r="AG123" i="4"/>
  <c r="AF123" i="4"/>
  <c r="AC123" i="4"/>
  <c r="AB123" i="4"/>
  <c r="Z123" i="4"/>
  <c r="J123" i="4"/>
  <c r="AL123" i="4" s="1"/>
  <c r="BJ122" i="4"/>
  <c r="BF122" i="4"/>
  <c r="BD122" i="4"/>
  <c r="AP122" i="4"/>
  <c r="AX122" i="4" s="1"/>
  <c r="AO122" i="4"/>
  <c r="BH122" i="4" s="1"/>
  <c r="AD122" i="4" s="1"/>
  <c r="AL122" i="4"/>
  <c r="AK122" i="4"/>
  <c r="AJ122" i="4"/>
  <c r="AH122" i="4"/>
  <c r="AG122" i="4"/>
  <c r="AF122" i="4"/>
  <c r="AC122" i="4"/>
  <c r="AB122" i="4"/>
  <c r="Z122" i="4"/>
  <c r="J122" i="4"/>
  <c r="H122" i="4"/>
  <c r="BJ121" i="4"/>
  <c r="BF121" i="4"/>
  <c r="BD121" i="4"/>
  <c r="AX121" i="4"/>
  <c r="AP121" i="4"/>
  <c r="BI121" i="4" s="1"/>
  <c r="AE121" i="4" s="1"/>
  <c r="AO121" i="4"/>
  <c r="BH121" i="4" s="1"/>
  <c r="AD121" i="4" s="1"/>
  <c r="AL121" i="4"/>
  <c r="AK121" i="4"/>
  <c r="AJ121" i="4"/>
  <c r="AH121" i="4"/>
  <c r="AG121" i="4"/>
  <c r="AF121" i="4"/>
  <c r="AC121" i="4"/>
  <c r="AB121" i="4"/>
  <c r="Z121" i="4"/>
  <c r="J121" i="4"/>
  <c r="I121" i="4"/>
  <c r="H121" i="4"/>
  <c r="BJ119" i="4"/>
  <c r="Z119" i="4" s="1"/>
  <c r="BF119" i="4"/>
  <c r="BD119" i="4"/>
  <c r="AW119" i="4"/>
  <c r="AV119" i="4" s="1"/>
  <c r="AP119" i="4"/>
  <c r="AX119" i="4" s="1"/>
  <c r="AO119" i="4"/>
  <c r="BH119" i="4" s="1"/>
  <c r="AK119" i="4"/>
  <c r="AJ119" i="4"/>
  <c r="AH119" i="4"/>
  <c r="AG119" i="4"/>
  <c r="AF119" i="4"/>
  <c r="AE119" i="4"/>
  <c r="AD119" i="4"/>
  <c r="AC119" i="4"/>
  <c r="AB119" i="4"/>
  <c r="J119" i="4"/>
  <c r="AL119" i="4" s="1"/>
  <c r="H119" i="4"/>
  <c r="BJ118" i="4"/>
  <c r="BF118" i="4"/>
  <c r="BD118" i="4"/>
  <c r="AP118" i="4"/>
  <c r="BI118" i="4" s="1"/>
  <c r="AE118" i="4" s="1"/>
  <c r="AO118" i="4"/>
  <c r="AW118" i="4" s="1"/>
  <c r="AL118" i="4"/>
  <c r="AK118" i="4"/>
  <c r="AJ118" i="4"/>
  <c r="AH118" i="4"/>
  <c r="AG118" i="4"/>
  <c r="AF118" i="4"/>
  <c r="AC118" i="4"/>
  <c r="AB118" i="4"/>
  <c r="Z118" i="4"/>
  <c r="J118" i="4"/>
  <c r="I118" i="4"/>
  <c r="BJ117" i="4"/>
  <c r="BH117" i="4"/>
  <c r="AD117" i="4" s="1"/>
  <c r="BF117" i="4"/>
  <c r="BD117" i="4"/>
  <c r="AX117" i="4"/>
  <c r="AW117" i="4"/>
  <c r="AP117" i="4"/>
  <c r="BI117" i="4" s="1"/>
  <c r="AE117" i="4" s="1"/>
  <c r="AO117" i="4"/>
  <c r="H117" i="4" s="1"/>
  <c r="AK117" i="4"/>
  <c r="AJ117" i="4"/>
  <c r="AH117" i="4"/>
  <c r="AG117" i="4"/>
  <c r="AF117" i="4"/>
  <c r="AC117" i="4"/>
  <c r="AB117" i="4"/>
  <c r="Z117" i="4"/>
  <c r="J117" i="4"/>
  <c r="AL117" i="4" s="1"/>
  <c r="I117" i="4"/>
  <c r="BJ116" i="4"/>
  <c r="BF116" i="4"/>
  <c r="BD116" i="4"/>
  <c r="AP116" i="4"/>
  <c r="I116" i="4" s="1"/>
  <c r="AO116" i="4"/>
  <c r="AW116" i="4" s="1"/>
  <c r="AK116" i="4"/>
  <c r="AJ116" i="4"/>
  <c r="AH116" i="4"/>
  <c r="AG116" i="4"/>
  <c r="AF116" i="4"/>
  <c r="AC116" i="4"/>
  <c r="AB116" i="4"/>
  <c r="Z116" i="4"/>
  <c r="J116" i="4"/>
  <c r="AL116" i="4" s="1"/>
  <c r="BJ115" i="4"/>
  <c r="BF115" i="4"/>
  <c r="BD115" i="4"/>
  <c r="AP115" i="4"/>
  <c r="AX115" i="4" s="1"/>
  <c r="AO115" i="4"/>
  <c r="BH115" i="4" s="1"/>
  <c r="AD115" i="4" s="1"/>
  <c r="AL115" i="4"/>
  <c r="AK115" i="4"/>
  <c r="AT114" i="4" s="1"/>
  <c r="AJ115" i="4"/>
  <c r="AH115" i="4"/>
  <c r="AG115" i="4"/>
  <c r="AF115" i="4"/>
  <c r="AC115" i="4"/>
  <c r="AB115" i="4"/>
  <c r="Z115" i="4"/>
  <c r="J115" i="4"/>
  <c r="H115" i="4"/>
  <c r="BJ113" i="4"/>
  <c r="Z113" i="4" s="1"/>
  <c r="BF113" i="4"/>
  <c r="BD113" i="4"/>
  <c r="AP113" i="4"/>
  <c r="I113" i="4" s="1"/>
  <c r="AO113" i="4"/>
  <c r="AW113" i="4" s="1"/>
  <c r="AK113" i="4"/>
  <c r="AJ113" i="4"/>
  <c r="AH113" i="4"/>
  <c r="AG113" i="4"/>
  <c r="AF113" i="4"/>
  <c r="AE113" i="4"/>
  <c r="AD113" i="4"/>
  <c r="AC113" i="4"/>
  <c r="AB113" i="4"/>
  <c r="J113" i="4"/>
  <c r="AL113" i="4" s="1"/>
  <c r="BJ112" i="4"/>
  <c r="BF112" i="4"/>
  <c r="BD112" i="4"/>
  <c r="AP112" i="4"/>
  <c r="AX112" i="4" s="1"/>
  <c r="AO112" i="4"/>
  <c r="BH112" i="4" s="1"/>
  <c r="AD112" i="4" s="1"/>
  <c r="AL112" i="4"/>
  <c r="AK112" i="4"/>
  <c r="AJ112" i="4"/>
  <c r="AH112" i="4"/>
  <c r="AG112" i="4"/>
  <c r="AF112" i="4"/>
  <c r="AC112" i="4"/>
  <c r="AB112" i="4"/>
  <c r="Z112" i="4"/>
  <c r="J112" i="4"/>
  <c r="H112" i="4"/>
  <c r="BJ111" i="4"/>
  <c r="BF111" i="4"/>
  <c r="BD111" i="4"/>
  <c r="AP111" i="4"/>
  <c r="BI111" i="4" s="1"/>
  <c r="AE111" i="4" s="1"/>
  <c r="AO111" i="4"/>
  <c r="BH111" i="4" s="1"/>
  <c r="AD111" i="4" s="1"/>
  <c r="AK111" i="4"/>
  <c r="AJ111" i="4"/>
  <c r="AH111" i="4"/>
  <c r="AG111" i="4"/>
  <c r="AF111" i="4"/>
  <c r="AC111" i="4"/>
  <c r="AB111" i="4"/>
  <c r="Z111" i="4"/>
  <c r="J111" i="4"/>
  <c r="AL111" i="4" s="1"/>
  <c r="BJ110" i="4"/>
  <c r="BF110" i="4"/>
  <c r="BD110" i="4"/>
  <c r="AP110" i="4"/>
  <c r="BI110" i="4" s="1"/>
  <c r="AE110" i="4" s="1"/>
  <c r="AO110" i="4"/>
  <c r="BH110" i="4" s="1"/>
  <c r="AD110" i="4" s="1"/>
  <c r="AK110" i="4"/>
  <c r="AJ110" i="4"/>
  <c r="AH110" i="4"/>
  <c r="AG110" i="4"/>
  <c r="AF110" i="4"/>
  <c r="AC110" i="4"/>
  <c r="AB110" i="4"/>
  <c r="Z110" i="4"/>
  <c r="J110" i="4"/>
  <c r="AL110" i="4" s="1"/>
  <c r="BJ109" i="4"/>
  <c r="BF109" i="4"/>
  <c r="BD109" i="4"/>
  <c r="AP109" i="4"/>
  <c r="BI109" i="4" s="1"/>
  <c r="AE109" i="4" s="1"/>
  <c r="AO109" i="4"/>
  <c r="BH109" i="4" s="1"/>
  <c r="AD109" i="4" s="1"/>
  <c r="AK109" i="4"/>
  <c r="AT108" i="4" s="1"/>
  <c r="AJ109" i="4"/>
  <c r="AH109" i="4"/>
  <c r="AG109" i="4"/>
  <c r="AF109" i="4"/>
  <c r="AC109" i="4"/>
  <c r="AB109" i="4"/>
  <c r="Z109" i="4"/>
  <c r="J109" i="4"/>
  <c r="AL109" i="4" s="1"/>
  <c r="H109" i="4"/>
  <c r="BJ107" i="4"/>
  <c r="BF107" i="4"/>
  <c r="BD107" i="4"/>
  <c r="AP107" i="4"/>
  <c r="BI107" i="4" s="1"/>
  <c r="AO107" i="4"/>
  <c r="BH107" i="4" s="1"/>
  <c r="AK107" i="4"/>
  <c r="AJ107" i="4"/>
  <c r="AH107" i="4"/>
  <c r="AG107" i="4"/>
  <c r="AF107" i="4"/>
  <c r="AE107" i="4"/>
  <c r="AD107" i="4"/>
  <c r="AC107" i="4"/>
  <c r="AB107" i="4"/>
  <c r="Z107" i="4"/>
  <c r="J107" i="4"/>
  <c r="AL107" i="4" s="1"/>
  <c r="BJ106" i="4"/>
  <c r="BF106" i="4"/>
  <c r="BD106" i="4"/>
  <c r="AP106" i="4"/>
  <c r="BI106" i="4" s="1"/>
  <c r="AE106" i="4" s="1"/>
  <c r="AO106" i="4"/>
  <c r="BH106" i="4" s="1"/>
  <c r="AD106" i="4" s="1"/>
  <c r="AL106" i="4"/>
  <c r="AK106" i="4"/>
  <c r="AJ106" i="4"/>
  <c r="AH106" i="4"/>
  <c r="AG106" i="4"/>
  <c r="AF106" i="4"/>
  <c r="AC106" i="4"/>
  <c r="AB106" i="4"/>
  <c r="Z106" i="4"/>
  <c r="J106" i="4"/>
  <c r="H106" i="4"/>
  <c r="BJ105" i="4"/>
  <c r="BF105" i="4"/>
  <c r="BD105" i="4"/>
  <c r="AP105" i="4"/>
  <c r="BI105" i="4" s="1"/>
  <c r="AE105" i="4" s="1"/>
  <c r="AO105" i="4"/>
  <c r="BH105" i="4" s="1"/>
  <c r="AD105" i="4" s="1"/>
  <c r="AL105" i="4"/>
  <c r="AK105" i="4"/>
  <c r="AT103" i="4" s="1"/>
  <c r="AJ105" i="4"/>
  <c r="AH105" i="4"/>
  <c r="AG105" i="4"/>
  <c r="AF105" i="4"/>
  <c r="AC105" i="4"/>
  <c r="AB105" i="4"/>
  <c r="Z105" i="4"/>
  <c r="J105" i="4"/>
  <c r="I105" i="4"/>
  <c r="H105" i="4"/>
  <c r="BJ104" i="4"/>
  <c r="BF104" i="4"/>
  <c r="BD104" i="4"/>
  <c r="AP104" i="4"/>
  <c r="BI104" i="4" s="1"/>
  <c r="AE104" i="4" s="1"/>
  <c r="AO104" i="4"/>
  <c r="AW104" i="4" s="1"/>
  <c r="AK104" i="4"/>
  <c r="AJ104" i="4"/>
  <c r="AH104" i="4"/>
  <c r="AG104" i="4"/>
  <c r="AF104" i="4"/>
  <c r="AC104" i="4"/>
  <c r="AB104" i="4"/>
  <c r="Z104" i="4"/>
  <c r="J104" i="4"/>
  <c r="AL104" i="4" s="1"/>
  <c r="BJ102" i="4"/>
  <c r="Z102" i="4" s="1"/>
  <c r="BF102" i="4"/>
  <c r="BD102" i="4"/>
  <c r="AW102" i="4"/>
  <c r="AP102" i="4"/>
  <c r="BI102" i="4" s="1"/>
  <c r="AO102" i="4"/>
  <c r="BH102" i="4" s="1"/>
  <c r="AL102" i="4"/>
  <c r="AK102" i="4"/>
  <c r="AJ102" i="4"/>
  <c r="AH102" i="4"/>
  <c r="AG102" i="4"/>
  <c r="AF102" i="4"/>
  <c r="AE102" i="4"/>
  <c r="AD102" i="4"/>
  <c r="AC102" i="4"/>
  <c r="AB102" i="4"/>
  <c r="J102" i="4"/>
  <c r="H102" i="4"/>
  <c r="BJ101" i="4"/>
  <c r="BF101" i="4"/>
  <c r="BD101" i="4"/>
  <c r="AP101" i="4"/>
  <c r="BI101" i="4" s="1"/>
  <c r="AC101" i="4" s="1"/>
  <c r="AO101" i="4"/>
  <c r="AW101" i="4" s="1"/>
  <c r="AK101" i="4"/>
  <c r="AT100" i="4" s="1"/>
  <c r="AJ101" i="4"/>
  <c r="AS100" i="4" s="1"/>
  <c r="AH101" i="4"/>
  <c r="AG101" i="4"/>
  <c r="AF101" i="4"/>
  <c r="AE101" i="4"/>
  <c r="AD101" i="4"/>
  <c r="Z101" i="4"/>
  <c r="J101" i="4"/>
  <c r="AL101" i="4" s="1"/>
  <c r="AU100" i="4" s="1"/>
  <c r="I101" i="4"/>
  <c r="BJ99" i="4"/>
  <c r="BF99" i="4"/>
  <c r="BD99" i="4"/>
  <c r="AP99" i="4"/>
  <c r="BI99" i="4" s="1"/>
  <c r="AC99" i="4" s="1"/>
  <c r="AO99" i="4"/>
  <c r="BH99" i="4" s="1"/>
  <c r="AB99" i="4" s="1"/>
  <c r="AL99" i="4"/>
  <c r="AK99" i="4"/>
  <c r="AJ99" i="4"/>
  <c r="AH99" i="4"/>
  <c r="AG99" i="4"/>
  <c r="AF99" i="4"/>
  <c r="AE99" i="4"/>
  <c r="AD99" i="4"/>
  <c r="Z99" i="4"/>
  <c r="J99" i="4"/>
  <c r="I99" i="4"/>
  <c r="H99" i="4"/>
  <c r="BJ98" i="4"/>
  <c r="BF98" i="4"/>
  <c r="BD98" i="4"/>
  <c r="AP98" i="4"/>
  <c r="BI98" i="4" s="1"/>
  <c r="AC98" i="4" s="1"/>
  <c r="AO98" i="4"/>
  <c r="AW98" i="4" s="1"/>
  <c r="AL98" i="4"/>
  <c r="AU97" i="4" s="1"/>
  <c r="AK98" i="4"/>
  <c r="AT97" i="4" s="1"/>
  <c r="AJ98" i="4"/>
  <c r="AH98" i="4"/>
  <c r="AG98" i="4"/>
  <c r="AF98" i="4"/>
  <c r="AE98" i="4"/>
  <c r="AD98" i="4"/>
  <c r="Z98" i="4"/>
  <c r="J98" i="4"/>
  <c r="I98" i="4"/>
  <c r="AS97" i="4"/>
  <c r="BJ96" i="4"/>
  <c r="BF96" i="4"/>
  <c r="BD96" i="4"/>
  <c r="AW96" i="4"/>
  <c r="AP96" i="4"/>
  <c r="BI96" i="4" s="1"/>
  <c r="AC96" i="4" s="1"/>
  <c r="AO96" i="4"/>
  <c r="BH96" i="4" s="1"/>
  <c r="AB96" i="4" s="1"/>
  <c r="AK96" i="4"/>
  <c r="AJ96" i="4"/>
  <c r="AH96" i="4"/>
  <c r="AG96" i="4"/>
  <c r="AF96" i="4"/>
  <c r="AE96" i="4"/>
  <c r="AD96" i="4"/>
  <c r="Z96" i="4"/>
  <c r="J96" i="4"/>
  <c r="AL96" i="4" s="1"/>
  <c r="I96" i="4"/>
  <c r="H96" i="4"/>
  <c r="BJ95" i="4"/>
  <c r="BF95" i="4"/>
  <c r="BD95" i="4"/>
  <c r="AX95" i="4"/>
  <c r="AP95" i="4"/>
  <c r="BI95" i="4" s="1"/>
  <c r="AC95" i="4" s="1"/>
  <c r="AO95" i="4"/>
  <c r="AW95" i="4" s="1"/>
  <c r="AL95" i="4"/>
  <c r="AK95" i="4"/>
  <c r="AJ95" i="4"/>
  <c r="AH95" i="4"/>
  <c r="AG95" i="4"/>
  <c r="AF95" i="4"/>
  <c r="AE95" i="4"/>
  <c r="AD95" i="4"/>
  <c r="Z95" i="4"/>
  <c r="J95" i="4"/>
  <c r="I95" i="4"/>
  <c r="BJ94" i="4"/>
  <c r="BF94" i="4"/>
  <c r="BD94" i="4"/>
  <c r="AP94" i="4"/>
  <c r="AX94" i="4" s="1"/>
  <c r="AO94" i="4"/>
  <c r="AW94" i="4" s="1"/>
  <c r="AK94" i="4"/>
  <c r="AJ94" i="4"/>
  <c r="AH94" i="4"/>
  <c r="AG94" i="4"/>
  <c r="AF94" i="4"/>
  <c r="AE94" i="4"/>
  <c r="AD94" i="4"/>
  <c r="Z94" i="4"/>
  <c r="J94" i="4"/>
  <c r="AL94" i="4" s="1"/>
  <c r="BJ93" i="4"/>
  <c r="BF93" i="4"/>
  <c r="BD93" i="4"/>
  <c r="AW93" i="4"/>
  <c r="AP93" i="4"/>
  <c r="AX93" i="4" s="1"/>
  <c r="AO93" i="4"/>
  <c r="BH93" i="4" s="1"/>
  <c r="AB93" i="4" s="1"/>
  <c r="AK93" i="4"/>
  <c r="AJ93" i="4"/>
  <c r="AH93" i="4"/>
  <c r="AG93" i="4"/>
  <c r="AF93" i="4"/>
  <c r="AE93" i="4"/>
  <c r="AD93" i="4"/>
  <c r="Z93" i="4"/>
  <c r="J93" i="4"/>
  <c r="AL93" i="4" s="1"/>
  <c r="H93" i="4"/>
  <c r="BJ92" i="4"/>
  <c r="BF92" i="4"/>
  <c r="BD92" i="4"/>
  <c r="AW92" i="4"/>
  <c r="AP92" i="4"/>
  <c r="AX92" i="4" s="1"/>
  <c r="AO92" i="4"/>
  <c r="BH92" i="4" s="1"/>
  <c r="AB92" i="4" s="1"/>
  <c r="AL92" i="4"/>
  <c r="AK92" i="4"/>
  <c r="AJ92" i="4"/>
  <c r="AH92" i="4"/>
  <c r="AG92" i="4"/>
  <c r="AF92" i="4"/>
  <c r="AE92" i="4"/>
  <c r="AD92" i="4"/>
  <c r="Z92" i="4"/>
  <c r="J92" i="4"/>
  <c r="I92" i="4"/>
  <c r="H92" i="4"/>
  <c r="BJ91" i="4"/>
  <c r="BF91" i="4"/>
  <c r="BD91" i="4"/>
  <c r="AW91" i="4"/>
  <c r="AP91" i="4"/>
  <c r="BI91" i="4" s="1"/>
  <c r="AC91" i="4" s="1"/>
  <c r="AO91" i="4"/>
  <c r="BH91" i="4" s="1"/>
  <c r="AB91" i="4" s="1"/>
  <c r="AK91" i="4"/>
  <c r="AJ91" i="4"/>
  <c r="AH91" i="4"/>
  <c r="AG91" i="4"/>
  <c r="AF91" i="4"/>
  <c r="AE91" i="4"/>
  <c r="AD91" i="4"/>
  <c r="Z91" i="4"/>
  <c r="J91" i="4"/>
  <c r="AL91" i="4" s="1"/>
  <c r="I91" i="4"/>
  <c r="BJ90" i="4"/>
  <c r="BF90" i="4"/>
  <c r="BD90" i="4"/>
  <c r="AP90" i="4"/>
  <c r="BI90" i="4" s="1"/>
  <c r="AC90" i="4" s="1"/>
  <c r="AO90" i="4"/>
  <c r="BH90" i="4" s="1"/>
  <c r="AB90" i="4" s="1"/>
  <c r="AK90" i="4"/>
  <c r="AJ90" i="4"/>
  <c r="AH90" i="4"/>
  <c r="AG90" i="4"/>
  <c r="AF90" i="4"/>
  <c r="AE90" i="4"/>
  <c r="AD90" i="4"/>
  <c r="Z90" i="4"/>
  <c r="J90" i="4"/>
  <c r="AL90" i="4" s="1"/>
  <c r="BJ89" i="4"/>
  <c r="BF89" i="4"/>
  <c r="BD89" i="4"/>
  <c r="AP89" i="4"/>
  <c r="BI89" i="4" s="1"/>
  <c r="AC89" i="4" s="1"/>
  <c r="AO89" i="4"/>
  <c r="BH89" i="4" s="1"/>
  <c r="AB89" i="4" s="1"/>
  <c r="AK89" i="4"/>
  <c r="AJ89" i="4"/>
  <c r="AH89" i="4"/>
  <c r="AG89" i="4"/>
  <c r="AF89" i="4"/>
  <c r="AE89" i="4"/>
  <c r="AD89" i="4"/>
  <c r="Z89" i="4"/>
  <c r="J89" i="4"/>
  <c r="AL89" i="4" s="1"/>
  <c r="H89" i="4"/>
  <c r="BJ87" i="4"/>
  <c r="BH87" i="4"/>
  <c r="AB87" i="4" s="1"/>
  <c r="BF87" i="4"/>
  <c r="BD87" i="4"/>
  <c r="AP87" i="4"/>
  <c r="BI87" i="4" s="1"/>
  <c r="AC87" i="4" s="1"/>
  <c r="AO87" i="4"/>
  <c r="AK87" i="4"/>
  <c r="AJ87" i="4"/>
  <c r="AH87" i="4"/>
  <c r="AG87" i="4"/>
  <c r="AF87" i="4"/>
  <c r="AE87" i="4"/>
  <c r="AD87" i="4"/>
  <c r="Z87" i="4"/>
  <c r="J87" i="4"/>
  <c r="AL87" i="4" s="1"/>
  <c r="BJ86" i="4"/>
  <c r="BI86" i="4"/>
  <c r="AC86" i="4" s="1"/>
  <c r="BF86" i="4"/>
  <c r="BD86" i="4"/>
  <c r="AP86" i="4"/>
  <c r="AO86" i="4"/>
  <c r="BH86" i="4" s="1"/>
  <c r="AK86" i="4"/>
  <c r="AJ86" i="4"/>
  <c r="AH86" i="4"/>
  <c r="AG86" i="4"/>
  <c r="AF86" i="4"/>
  <c r="AE86" i="4"/>
  <c r="AD86" i="4"/>
  <c r="AB86" i="4"/>
  <c r="Z86" i="4"/>
  <c r="J86" i="4"/>
  <c r="AL86" i="4" s="1"/>
  <c r="H86" i="4"/>
  <c r="BJ85" i="4"/>
  <c r="BF85" i="4"/>
  <c r="BD85" i="4"/>
  <c r="AP85" i="4"/>
  <c r="BI85" i="4" s="1"/>
  <c r="AC85" i="4" s="1"/>
  <c r="AO85" i="4"/>
  <c r="BH85" i="4" s="1"/>
  <c r="AB85" i="4" s="1"/>
  <c r="AL85" i="4"/>
  <c r="AK85" i="4"/>
  <c r="AJ85" i="4"/>
  <c r="AH85" i="4"/>
  <c r="AG85" i="4"/>
  <c r="AF85" i="4"/>
  <c r="AE85" i="4"/>
  <c r="AD85" i="4"/>
  <c r="Z85" i="4"/>
  <c r="J85" i="4"/>
  <c r="I85" i="4"/>
  <c r="H85" i="4"/>
  <c r="BJ84" i="4"/>
  <c r="BF84" i="4"/>
  <c r="BD84" i="4"/>
  <c r="AW84" i="4"/>
  <c r="AP84" i="4"/>
  <c r="BI84" i="4" s="1"/>
  <c r="AC84" i="4" s="1"/>
  <c r="AO84" i="4"/>
  <c r="H84" i="4" s="1"/>
  <c r="AL84" i="4"/>
  <c r="AK84" i="4"/>
  <c r="AJ84" i="4"/>
  <c r="AS83" i="4" s="1"/>
  <c r="AH84" i="4"/>
  <c r="AG84" i="4"/>
  <c r="AF84" i="4"/>
  <c r="AE84" i="4"/>
  <c r="AD84" i="4"/>
  <c r="Z84" i="4"/>
  <c r="J84" i="4"/>
  <c r="AT83" i="4"/>
  <c r="BJ82" i="4"/>
  <c r="BF82" i="4"/>
  <c r="BD82" i="4"/>
  <c r="AW82" i="4"/>
  <c r="AP82" i="4"/>
  <c r="BI82" i="4" s="1"/>
  <c r="AC82" i="4" s="1"/>
  <c r="AO82" i="4"/>
  <c r="BH82" i="4" s="1"/>
  <c r="AB82" i="4" s="1"/>
  <c r="AK82" i="4"/>
  <c r="AJ82" i="4"/>
  <c r="AH82" i="4"/>
  <c r="AG82" i="4"/>
  <c r="AF82" i="4"/>
  <c r="AE82" i="4"/>
  <c r="AD82" i="4"/>
  <c r="Z82" i="4"/>
  <c r="J82" i="4"/>
  <c r="AL82" i="4" s="1"/>
  <c r="I82" i="4"/>
  <c r="H82" i="4"/>
  <c r="BJ81" i="4"/>
  <c r="BF81" i="4"/>
  <c r="BD81" i="4"/>
  <c r="AX81" i="4"/>
  <c r="AP81" i="4"/>
  <c r="BI81" i="4" s="1"/>
  <c r="AC81" i="4" s="1"/>
  <c r="AO81" i="4"/>
  <c r="H81" i="4" s="1"/>
  <c r="AK81" i="4"/>
  <c r="AJ81" i="4"/>
  <c r="AH81" i="4"/>
  <c r="AG81" i="4"/>
  <c r="AF81" i="4"/>
  <c r="AE81" i="4"/>
  <c r="AD81" i="4"/>
  <c r="Z81" i="4"/>
  <c r="J81" i="4"/>
  <c r="AL81" i="4" s="1"/>
  <c r="I81" i="4"/>
  <c r="BJ80" i="4"/>
  <c r="BF80" i="4"/>
  <c r="BD80" i="4"/>
  <c r="AP80" i="4"/>
  <c r="I80" i="4" s="1"/>
  <c r="AO80" i="4"/>
  <c r="BH80" i="4" s="1"/>
  <c r="AB80" i="4" s="1"/>
  <c r="AK80" i="4"/>
  <c r="AJ80" i="4"/>
  <c r="AH80" i="4"/>
  <c r="AG80" i="4"/>
  <c r="AF80" i="4"/>
  <c r="AE80" i="4"/>
  <c r="AD80" i="4"/>
  <c r="Z80" i="4"/>
  <c r="J80" i="4"/>
  <c r="AL80" i="4" s="1"/>
  <c r="BJ79" i="4"/>
  <c r="BI79" i="4"/>
  <c r="AC79" i="4" s="1"/>
  <c r="BF79" i="4"/>
  <c r="BD79" i="4"/>
  <c r="AW79" i="4"/>
  <c r="AP79" i="4"/>
  <c r="AO79" i="4"/>
  <c r="BH79" i="4" s="1"/>
  <c r="AK79" i="4"/>
  <c r="AJ79" i="4"/>
  <c r="AH79" i="4"/>
  <c r="AG79" i="4"/>
  <c r="AF79" i="4"/>
  <c r="AE79" i="4"/>
  <c r="AD79" i="4"/>
  <c r="AB79" i="4"/>
  <c r="Z79" i="4"/>
  <c r="J79" i="4"/>
  <c r="AL79" i="4" s="1"/>
  <c r="H79" i="4"/>
  <c r="BJ78" i="4"/>
  <c r="BF78" i="4"/>
  <c r="BD78" i="4"/>
  <c r="AP78" i="4"/>
  <c r="BI78" i="4" s="1"/>
  <c r="AC78" i="4" s="1"/>
  <c r="AO78" i="4"/>
  <c r="BH78" i="4" s="1"/>
  <c r="AB78" i="4" s="1"/>
  <c r="AK78" i="4"/>
  <c r="AJ78" i="4"/>
  <c r="AH78" i="4"/>
  <c r="AG78" i="4"/>
  <c r="AF78" i="4"/>
  <c r="AE78" i="4"/>
  <c r="AD78" i="4"/>
  <c r="Z78" i="4"/>
  <c r="J78" i="4"/>
  <c r="AL78" i="4" s="1"/>
  <c r="I78" i="4"/>
  <c r="H78" i="4"/>
  <c r="BJ77" i="4"/>
  <c r="BF77" i="4"/>
  <c r="BD77" i="4"/>
  <c r="AX77" i="4"/>
  <c r="AP77" i="4"/>
  <c r="BI77" i="4" s="1"/>
  <c r="AO77" i="4"/>
  <c r="H77" i="4" s="1"/>
  <c r="AL77" i="4"/>
  <c r="AK77" i="4"/>
  <c r="AJ77" i="4"/>
  <c r="AH77" i="4"/>
  <c r="AG77" i="4"/>
  <c r="AF77" i="4"/>
  <c r="AE77" i="4"/>
  <c r="AD77" i="4"/>
  <c r="AC77" i="4"/>
  <c r="Z77" i="4"/>
  <c r="J77" i="4"/>
  <c r="I77" i="4"/>
  <c r="BJ76" i="4"/>
  <c r="BI76" i="4"/>
  <c r="AC76" i="4" s="1"/>
  <c r="BF76" i="4"/>
  <c r="BD76" i="4"/>
  <c r="AP76" i="4"/>
  <c r="I76" i="4" s="1"/>
  <c r="AO76" i="4"/>
  <c r="H76" i="4" s="1"/>
  <c r="AK76" i="4"/>
  <c r="AJ76" i="4"/>
  <c r="AH76" i="4"/>
  <c r="AG76" i="4"/>
  <c r="AF76" i="4"/>
  <c r="AE76" i="4"/>
  <c r="AD76" i="4"/>
  <c r="Z76" i="4"/>
  <c r="J76" i="4"/>
  <c r="BJ75" i="4"/>
  <c r="BI75" i="4"/>
  <c r="BF75" i="4"/>
  <c r="BD75" i="4"/>
  <c r="AP75" i="4"/>
  <c r="I75" i="4" s="1"/>
  <c r="AO75" i="4"/>
  <c r="BH75" i="4" s="1"/>
  <c r="AB75" i="4" s="1"/>
  <c r="AK75" i="4"/>
  <c r="AJ75" i="4"/>
  <c r="AH75" i="4"/>
  <c r="AG75" i="4"/>
  <c r="AF75" i="4"/>
  <c r="AE75" i="4"/>
  <c r="AD75" i="4"/>
  <c r="AC75" i="4"/>
  <c r="Z75" i="4"/>
  <c r="J75" i="4"/>
  <c r="AL75" i="4" s="1"/>
  <c r="H75" i="4"/>
  <c r="BJ73" i="4"/>
  <c r="BI73" i="4"/>
  <c r="AC73" i="4" s="1"/>
  <c r="BF73" i="4"/>
  <c r="BD73" i="4"/>
  <c r="AP73" i="4"/>
  <c r="I73" i="4" s="1"/>
  <c r="AO73" i="4"/>
  <c r="H73" i="4" s="1"/>
  <c r="AK73" i="4"/>
  <c r="AJ73" i="4"/>
  <c r="AH73" i="4"/>
  <c r="AG73" i="4"/>
  <c r="AF73" i="4"/>
  <c r="AE73" i="4"/>
  <c r="AD73" i="4"/>
  <c r="Z73" i="4"/>
  <c r="J73" i="4"/>
  <c r="AL73" i="4" s="1"/>
  <c r="BJ72" i="4"/>
  <c r="BI72" i="4"/>
  <c r="AC72" i="4" s="1"/>
  <c r="BF72" i="4"/>
  <c r="BD72" i="4"/>
  <c r="AX72" i="4"/>
  <c r="AP72" i="4"/>
  <c r="I72" i="4" s="1"/>
  <c r="AO72" i="4"/>
  <c r="BH72" i="4" s="1"/>
  <c r="AB72" i="4" s="1"/>
  <c r="AK72" i="4"/>
  <c r="AJ72" i="4"/>
  <c r="AH72" i="4"/>
  <c r="AG72" i="4"/>
  <c r="AF72" i="4"/>
  <c r="AE72" i="4"/>
  <c r="AD72" i="4"/>
  <c r="Z72" i="4"/>
  <c r="J72" i="4"/>
  <c r="AL72" i="4" s="1"/>
  <c r="BJ71" i="4"/>
  <c r="BF71" i="4"/>
  <c r="BD71" i="4"/>
  <c r="AW71" i="4"/>
  <c r="AP71" i="4"/>
  <c r="AO71" i="4"/>
  <c r="BH71" i="4" s="1"/>
  <c r="AB71" i="4" s="1"/>
  <c r="AL71" i="4"/>
  <c r="AK71" i="4"/>
  <c r="AT68" i="4" s="1"/>
  <c r="AJ71" i="4"/>
  <c r="AH71" i="4"/>
  <c r="AG71" i="4"/>
  <c r="AF71" i="4"/>
  <c r="AE71" i="4"/>
  <c r="AD71" i="4"/>
  <c r="Z71" i="4"/>
  <c r="J71" i="4"/>
  <c r="H71" i="4"/>
  <c r="BJ70" i="4"/>
  <c r="BH70" i="4"/>
  <c r="AB70" i="4" s="1"/>
  <c r="BF70" i="4"/>
  <c r="BD70" i="4"/>
  <c r="AW70" i="4"/>
  <c r="AP70" i="4"/>
  <c r="AO70" i="4"/>
  <c r="H70" i="4" s="1"/>
  <c r="AK70" i="4"/>
  <c r="AJ70" i="4"/>
  <c r="AH70" i="4"/>
  <c r="AG70" i="4"/>
  <c r="AF70" i="4"/>
  <c r="AE70" i="4"/>
  <c r="AD70" i="4"/>
  <c r="Z70" i="4"/>
  <c r="J70" i="4"/>
  <c r="AL70" i="4" s="1"/>
  <c r="BJ69" i="4"/>
  <c r="BF69" i="4"/>
  <c r="BD69" i="4"/>
  <c r="AX69" i="4"/>
  <c r="AP69" i="4"/>
  <c r="BI69" i="4" s="1"/>
  <c r="AC69" i="4" s="1"/>
  <c r="AO69" i="4"/>
  <c r="BH69" i="4" s="1"/>
  <c r="AB69" i="4" s="1"/>
  <c r="AK69" i="4"/>
  <c r="AJ69" i="4"/>
  <c r="AH69" i="4"/>
  <c r="AG69" i="4"/>
  <c r="AF69" i="4"/>
  <c r="AE69" i="4"/>
  <c r="AD69" i="4"/>
  <c r="Z69" i="4"/>
  <c r="J69" i="4"/>
  <c r="AL69" i="4" s="1"/>
  <c r="I69" i="4"/>
  <c r="BJ67" i="4"/>
  <c r="BF67" i="4"/>
  <c r="BD67" i="4"/>
  <c r="AW67" i="4"/>
  <c r="AP67" i="4"/>
  <c r="BI67" i="4" s="1"/>
  <c r="AC67" i="4" s="1"/>
  <c r="AO67" i="4"/>
  <c r="BH67" i="4" s="1"/>
  <c r="AB67" i="4" s="1"/>
  <c r="AK67" i="4"/>
  <c r="AJ67" i="4"/>
  <c r="AH67" i="4"/>
  <c r="AG67" i="4"/>
  <c r="AF67" i="4"/>
  <c r="AE67" i="4"/>
  <c r="AD67" i="4"/>
  <c r="Z67" i="4"/>
  <c r="J67" i="4"/>
  <c r="AL67" i="4" s="1"/>
  <c r="H67" i="4"/>
  <c r="BJ66" i="4"/>
  <c r="BF66" i="4"/>
  <c r="BD66" i="4"/>
  <c r="AP66" i="4"/>
  <c r="BI66" i="4" s="1"/>
  <c r="AC66" i="4" s="1"/>
  <c r="AO66" i="4"/>
  <c r="BH66" i="4" s="1"/>
  <c r="AB66" i="4" s="1"/>
  <c r="AK66" i="4"/>
  <c r="AJ66" i="4"/>
  <c r="AH66" i="4"/>
  <c r="AG66" i="4"/>
  <c r="AF66" i="4"/>
  <c r="AE66" i="4"/>
  <c r="AD66" i="4"/>
  <c r="Z66" i="4"/>
  <c r="J66" i="4"/>
  <c r="AL66" i="4" s="1"/>
  <c r="H66" i="4"/>
  <c r="BJ65" i="4"/>
  <c r="BF65" i="4"/>
  <c r="BD65" i="4"/>
  <c r="AW65" i="4"/>
  <c r="AP65" i="4"/>
  <c r="BI65" i="4" s="1"/>
  <c r="AC65" i="4" s="1"/>
  <c r="AO65" i="4"/>
  <c r="H65" i="4" s="1"/>
  <c r="AK65" i="4"/>
  <c r="AJ65" i="4"/>
  <c r="AH65" i="4"/>
  <c r="AG65" i="4"/>
  <c r="AF65" i="4"/>
  <c r="AE65" i="4"/>
  <c r="AD65" i="4"/>
  <c r="Z65" i="4"/>
  <c r="J65" i="4"/>
  <c r="AL65" i="4" s="1"/>
  <c r="I65" i="4"/>
  <c r="BJ64" i="4"/>
  <c r="BF64" i="4"/>
  <c r="BD64" i="4"/>
  <c r="AP64" i="4"/>
  <c r="I64" i="4" s="1"/>
  <c r="AO64" i="4"/>
  <c r="AW64" i="4" s="1"/>
  <c r="AK64" i="4"/>
  <c r="AJ64" i="4"/>
  <c r="AS63" i="4" s="1"/>
  <c r="AH64" i="4"/>
  <c r="AG64" i="4"/>
  <c r="AF64" i="4"/>
  <c r="AE64" i="4"/>
  <c r="AD64" i="4"/>
  <c r="Z64" i="4"/>
  <c r="J64" i="4"/>
  <c r="BJ62" i="4"/>
  <c r="BF62" i="4"/>
  <c r="BD62" i="4"/>
  <c r="AW62" i="4"/>
  <c r="AP62" i="4"/>
  <c r="BI62" i="4" s="1"/>
  <c r="AC62" i="4" s="1"/>
  <c r="AO62" i="4"/>
  <c r="H62" i="4" s="1"/>
  <c r="H61" i="4" s="1"/>
  <c r="J22" i="3" s="1"/>
  <c r="AK62" i="4"/>
  <c r="AT61" i="4" s="1"/>
  <c r="AJ62" i="4"/>
  <c r="AS61" i="4" s="1"/>
  <c r="AH62" i="4"/>
  <c r="AG62" i="4"/>
  <c r="AF62" i="4"/>
  <c r="AE62" i="4"/>
  <c r="AD62" i="4"/>
  <c r="Z62" i="4"/>
  <c r="J62" i="4"/>
  <c r="AL62" i="4" s="1"/>
  <c r="AU61" i="4" s="1"/>
  <c r="BJ60" i="4"/>
  <c r="BF60" i="4"/>
  <c r="BD60" i="4"/>
  <c r="AP60" i="4"/>
  <c r="BI60" i="4" s="1"/>
  <c r="AC60" i="4" s="1"/>
  <c r="AO60" i="4"/>
  <c r="BH60" i="4" s="1"/>
  <c r="AB60" i="4" s="1"/>
  <c r="AK60" i="4"/>
  <c r="AJ60" i="4"/>
  <c r="AH60" i="4"/>
  <c r="AG60" i="4"/>
  <c r="AF60" i="4"/>
  <c r="AE60" i="4"/>
  <c r="AD60" i="4"/>
  <c r="Z60" i="4"/>
  <c r="J60" i="4"/>
  <c r="AL60" i="4" s="1"/>
  <c r="H60" i="4"/>
  <c r="BJ59" i="4"/>
  <c r="BF59" i="4"/>
  <c r="BD59" i="4"/>
  <c r="AP59" i="4"/>
  <c r="BI59" i="4" s="1"/>
  <c r="AC59" i="4" s="1"/>
  <c r="AO59" i="4"/>
  <c r="H59" i="4" s="1"/>
  <c r="AK59" i="4"/>
  <c r="AJ59" i="4"/>
  <c r="AH59" i="4"/>
  <c r="AG59" i="4"/>
  <c r="AF59" i="4"/>
  <c r="AE59" i="4"/>
  <c r="AD59" i="4"/>
  <c r="Z59" i="4"/>
  <c r="J59" i="4"/>
  <c r="AL59" i="4" s="1"/>
  <c r="BJ58" i="4"/>
  <c r="BF58" i="4"/>
  <c r="BD58" i="4"/>
  <c r="AP58" i="4"/>
  <c r="I58" i="4" s="1"/>
  <c r="AO58" i="4"/>
  <c r="AW58" i="4" s="1"/>
  <c r="AK58" i="4"/>
  <c r="AJ58" i="4"/>
  <c r="AH58" i="4"/>
  <c r="AG58" i="4"/>
  <c r="AF58" i="4"/>
  <c r="AE58" i="4"/>
  <c r="AD58" i="4"/>
  <c r="Z58" i="4"/>
  <c r="J58" i="4"/>
  <c r="BJ57" i="4"/>
  <c r="BF57" i="4"/>
  <c r="BD57" i="4"/>
  <c r="AW57" i="4"/>
  <c r="AP57" i="4"/>
  <c r="AX57" i="4" s="1"/>
  <c r="AO57" i="4"/>
  <c r="H57" i="4" s="1"/>
  <c r="AK57" i="4"/>
  <c r="AJ57" i="4"/>
  <c r="AS56" i="4" s="1"/>
  <c r="AH57" i="4"/>
  <c r="AG57" i="4"/>
  <c r="AF57" i="4"/>
  <c r="AE57" i="4"/>
  <c r="AD57" i="4"/>
  <c r="Z57" i="4"/>
  <c r="J57" i="4"/>
  <c r="AL57" i="4" s="1"/>
  <c r="I57" i="4"/>
  <c r="BJ55" i="4"/>
  <c r="BF55" i="4"/>
  <c r="BD55" i="4"/>
  <c r="AX55" i="4"/>
  <c r="AP55" i="4"/>
  <c r="I55" i="4" s="1"/>
  <c r="AO55" i="4"/>
  <c r="AW55" i="4" s="1"/>
  <c r="BC55" i="4" s="1"/>
  <c r="AK55" i="4"/>
  <c r="AJ55" i="4"/>
  <c r="AH55" i="4"/>
  <c r="AG55" i="4"/>
  <c r="AF55" i="4"/>
  <c r="AE55" i="4"/>
  <c r="AD55" i="4"/>
  <c r="Z55" i="4"/>
  <c r="J55" i="4"/>
  <c r="AL55" i="4" s="1"/>
  <c r="BJ54" i="4"/>
  <c r="BF54" i="4"/>
  <c r="BD54" i="4"/>
  <c r="AW54" i="4"/>
  <c r="AP54" i="4"/>
  <c r="AX54" i="4" s="1"/>
  <c r="AO54" i="4"/>
  <c r="H54" i="4" s="1"/>
  <c r="AK54" i="4"/>
  <c r="AJ54" i="4"/>
  <c r="AH54" i="4"/>
  <c r="AG54" i="4"/>
  <c r="AF54" i="4"/>
  <c r="AE54" i="4"/>
  <c r="AD54" i="4"/>
  <c r="Z54" i="4"/>
  <c r="J54" i="4"/>
  <c r="AL54" i="4" s="1"/>
  <c r="I54" i="4"/>
  <c r="BJ53" i="4"/>
  <c r="BF53" i="4"/>
  <c r="BD53" i="4"/>
  <c r="AP53" i="4"/>
  <c r="I53" i="4" s="1"/>
  <c r="AO53" i="4"/>
  <c r="AW53" i="4" s="1"/>
  <c r="AK53" i="4"/>
  <c r="AJ53" i="4"/>
  <c r="AH53" i="4"/>
  <c r="AG53" i="4"/>
  <c r="AF53" i="4"/>
  <c r="AE53" i="4"/>
  <c r="AD53" i="4"/>
  <c r="Z53" i="4"/>
  <c r="J53" i="4"/>
  <c r="AL53" i="4" s="1"/>
  <c r="BJ52" i="4"/>
  <c r="BF52" i="4"/>
  <c r="BD52" i="4"/>
  <c r="AP52" i="4"/>
  <c r="AX52" i="4" s="1"/>
  <c r="AO52" i="4"/>
  <c r="AW52" i="4" s="1"/>
  <c r="AL52" i="4"/>
  <c r="AK52" i="4"/>
  <c r="AJ52" i="4"/>
  <c r="AH52" i="4"/>
  <c r="AG52" i="4"/>
  <c r="AF52" i="4"/>
  <c r="AE52" i="4"/>
  <c r="AD52" i="4"/>
  <c r="Z52" i="4"/>
  <c r="J52" i="4"/>
  <c r="BJ51" i="4"/>
  <c r="BF51" i="4"/>
  <c r="BD51" i="4"/>
  <c r="AP51" i="4"/>
  <c r="AX51" i="4" s="1"/>
  <c r="AO51" i="4"/>
  <c r="BH51" i="4" s="1"/>
  <c r="AB51" i="4" s="1"/>
  <c r="AK51" i="4"/>
  <c r="AJ51" i="4"/>
  <c r="AH51" i="4"/>
  <c r="AG51" i="4"/>
  <c r="AF51" i="4"/>
  <c r="AE51" i="4"/>
  <c r="AD51" i="4"/>
  <c r="Z51" i="4"/>
  <c r="J51" i="4"/>
  <c r="AL51" i="4" s="1"/>
  <c r="BJ50" i="4"/>
  <c r="BF50" i="4"/>
  <c r="BD50" i="4"/>
  <c r="AW50" i="4"/>
  <c r="AP50" i="4"/>
  <c r="BI50" i="4" s="1"/>
  <c r="AC50" i="4" s="1"/>
  <c r="AO50" i="4"/>
  <c r="BH50" i="4" s="1"/>
  <c r="AB50" i="4" s="1"/>
  <c r="AK50" i="4"/>
  <c r="AJ50" i="4"/>
  <c r="AS44" i="4" s="1"/>
  <c r="AH50" i="4"/>
  <c r="AG50" i="4"/>
  <c r="AF50" i="4"/>
  <c r="AE50" i="4"/>
  <c r="AD50" i="4"/>
  <c r="Z50" i="4"/>
  <c r="J50" i="4"/>
  <c r="AL50" i="4" s="1"/>
  <c r="BJ49" i="4"/>
  <c r="BF49" i="4"/>
  <c r="BD49" i="4"/>
  <c r="AX49" i="4"/>
  <c r="AP49" i="4"/>
  <c r="BI49" i="4" s="1"/>
  <c r="AC49" i="4" s="1"/>
  <c r="AO49" i="4"/>
  <c r="AW49" i="4" s="1"/>
  <c r="BC49" i="4" s="1"/>
  <c r="AK49" i="4"/>
  <c r="AJ49" i="4"/>
  <c r="AH49" i="4"/>
  <c r="AG49" i="4"/>
  <c r="AF49" i="4"/>
  <c r="AE49" i="4"/>
  <c r="AD49" i="4"/>
  <c r="Z49" i="4"/>
  <c r="J49" i="4"/>
  <c r="AL49" i="4" s="1"/>
  <c r="I49" i="4"/>
  <c r="BJ48" i="4"/>
  <c r="BF48" i="4"/>
  <c r="BD48" i="4"/>
  <c r="AW48" i="4"/>
  <c r="AP48" i="4"/>
  <c r="AX48" i="4" s="1"/>
  <c r="AO48" i="4"/>
  <c r="H48" i="4" s="1"/>
  <c r="AK48" i="4"/>
  <c r="AJ48" i="4"/>
  <c r="AH48" i="4"/>
  <c r="AG48" i="4"/>
  <c r="AF48" i="4"/>
  <c r="AE48" i="4"/>
  <c r="AD48" i="4"/>
  <c r="Z48" i="4"/>
  <c r="J48" i="4"/>
  <c r="AL48" i="4" s="1"/>
  <c r="BJ47" i="4"/>
  <c r="BF47" i="4"/>
  <c r="BD47" i="4"/>
  <c r="AX47" i="4"/>
  <c r="AP47" i="4"/>
  <c r="I47" i="4" s="1"/>
  <c r="AO47" i="4"/>
  <c r="AW47" i="4" s="1"/>
  <c r="BC47" i="4" s="1"/>
  <c r="AK47" i="4"/>
  <c r="AJ47" i="4"/>
  <c r="AH47" i="4"/>
  <c r="AG47" i="4"/>
  <c r="AF47" i="4"/>
  <c r="AE47" i="4"/>
  <c r="AD47" i="4"/>
  <c r="Z47" i="4"/>
  <c r="J47" i="4"/>
  <c r="AL47" i="4" s="1"/>
  <c r="BJ46" i="4"/>
  <c r="BF46" i="4"/>
  <c r="BD46" i="4"/>
  <c r="AP46" i="4"/>
  <c r="AX46" i="4" s="1"/>
  <c r="AO46" i="4"/>
  <c r="H46" i="4" s="1"/>
  <c r="AL46" i="4"/>
  <c r="AK46" i="4"/>
  <c r="AJ46" i="4"/>
  <c r="AH46" i="4"/>
  <c r="AG46" i="4"/>
  <c r="AF46" i="4"/>
  <c r="AE46" i="4"/>
  <c r="AD46" i="4"/>
  <c r="Z46" i="4"/>
  <c r="J46" i="4"/>
  <c r="I46" i="4"/>
  <c r="BJ45" i="4"/>
  <c r="BF45" i="4"/>
  <c r="BD45" i="4"/>
  <c r="AX45" i="4"/>
  <c r="AP45" i="4"/>
  <c r="I45" i="4" s="1"/>
  <c r="AO45" i="4"/>
  <c r="AW45" i="4" s="1"/>
  <c r="AK45" i="4"/>
  <c r="AJ45" i="4"/>
  <c r="AH45" i="4"/>
  <c r="AG45" i="4"/>
  <c r="AF45" i="4"/>
  <c r="AE45" i="4"/>
  <c r="AD45" i="4"/>
  <c r="Z45" i="4"/>
  <c r="J45" i="4"/>
  <c r="BJ43" i="4"/>
  <c r="BF43" i="4"/>
  <c r="BD43" i="4"/>
  <c r="AP43" i="4"/>
  <c r="AX43" i="4" s="1"/>
  <c r="AO43" i="4"/>
  <c r="H43" i="4" s="1"/>
  <c r="H42" i="4" s="1"/>
  <c r="AL43" i="4"/>
  <c r="AU42" i="4" s="1"/>
  <c r="AK43" i="4"/>
  <c r="AT42" i="4" s="1"/>
  <c r="AJ43" i="4"/>
  <c r="AS42" i="4" s="1"/>
  <c r="AH43" i="4"/>
  <c r="AG43" i="4"/>
  <c r="AF43" i="4"/>
  <c r="AE43" i="4"/>
  <c r="AD43" i="4"/>
  <c r="Z43" i="4"/>
  <c r="J43" i="4"/>
  <c r="J42" i="4"/>
  <c r="BJ41" i="4"/>
  <c r="BF41" i="4"/>
  <c r="BD41" i="4"/>
  <c r="AX41" i="4"/>
  <c r="AV41" i="4" s="1"/>
  <c r="AP41" i="4"/>
  <c r="I41" i="4" s="1"/>
  <c r="AO41" i="4"/>
  <c r="AW41" i="4" s="1"/>
  <c r="AK41" i="4"/>
  <c r="AJ41" i="4"/>
  <c r="AH41" i="4"/>
  <c r="AG41" i="4"/>
  <c r="AF41" i="4"/>
  <c r="AE41" i="4"/>
  <c r="AD41" i="4"/>
  <c r="Z41" i="4"/>
  <c r="J41" i="4"/>
  <c r="AL41" i="4" s="1"/>
  <c r="H41" i="4"/>
  <c r="BJ40" i="4"/>
  <c r="BF40" i="4"/>
  <c r="BD40" i="4"/>
  <c r="AP40" i="4"/>
  <c r="AX40" i="4" s="1"/>
  <c r="AO40" i="4"/>
  <c r="H40" i="4" s="1"/>
  <c r="AL40" i="4"/>
  <c r="AK40" i="4"/>
  <c r="AJ40" i="4"/>
  <c r="AH40" i="4"/>
  <c r="AG40" i="4"/>
  <c r="AF40" i="4"/>
  <c r="AE40" i="4"/>
  <c r="AD40" i="4"/>
  <c r="Z40" i="4"/>
  <c r="J40" i="4"/>
  <c r="I40" i="4"/>
  <c r="BJ39" i="4"/>
  <c r="BF39" i="4"/>
  <c r="BD39" i="4"/>
  <c r="AX39" i="4"/>
  <c r="AP39" i="4"/>
  <c r="I39" i="4" s="1"/>
  <c r="AO39" i="4"/>
  <c r="AW39" i="4" s="1"/>
  <c r="AK39" i="4"/>
  <c r="AJ39" i="4"/>
  <c r="AH39" i="4"/>
  <c r="AG39" i="4"/>
  <c r="AF39" i="4"/>
  <c r="AE39" i="4"/>
  <c r="AD39" i="4"/>
  <c r="Z39" i="4"/>
  <c r="J39" i="4"/>
  <c r="AL39" i="4" s="1"/>
  <c r="BJ38" i="4"/>
  <c r="BF38" i="4"/>
  <c r="BD38" i="4"/>
  <c r="AP38" i="4"/>
  <c r="AX38" i="4" s="1"/>
  <c r="AO38" i="4"/>
  <c r="AK38" i="4"/>
  <c r="AJ38" i="4"/>
  <c r="AH38" i="4"/>
  <c r="AG38" i="4"/>
  <c r="AF38" i="4"/>
  <c r="AE38" i="4"/>
  <c r="AD38" i="4"/>
  <c r="Z38" i="4"/>
  <c r="J38" i="4"/>
  <c r="AL38" i="4" s="1"/>
  <c r="BJ37" i="4"/>
  <c r="BF37" i="4"/>
  <c r="BD37" i="4"/>
  <c r="AP37" i="4"/>
  <c r="BI37" i="4" s="1"/>
  <c r="AC37" i="4" s="1"/>
  <c r="AO37" i="4"/>
  <c r="AW37" i="4" s="1"/>
  <c r="AK37" i="4"/>
  <c r="AJ37" i="4"/>
  <c r="AH37" i="4"/>
  <c r="AG37" i="4"/>
  <c r="AF37" i="4"/>
  <c r="AE37" i="4"/>
  <c r="AD37" i="4"/>
  <c r="Z37" i="4"/>
  <c r="J37" i="4"/>
  <c r="AL37" i="4" s="1"/>
  <c r="BJ36" i="4"/>
  <c r="BF36" i="4"/>
  <c r="BD36" i="4"/>
  <c r="AP36" i="4"/>
  <c r="AX36" i="4" s="1"/>
  <c r="AO36" i="4"/>
  <c r="BH36" i="4" s="1"/>
  <c r="AB36" i="4" s="1"/>
  <c r="AL36" i="4"/>
  <c r="AK36" i="4"/>
  <c r="AJ36" i="4"/>
  <c r="AH36" i="4"/>
  <c r="AG36" i="4"/>
  <c r="AF36" i="4"/>
  <c r="AE36" i="4"/>
  <c r="AD36" i="4"/>
  <c r="Z36" i="4"/>
  <c r="J36" i="4"/>
  <c r="I36" i="4"/>
  <c r="H36" i="4"/>
  <c r="BJ35" i="4"/>
  <c r="BF35" i="4"/>
  <c r="BD35" i="4"/>
  <c r="AX35" i="4"/>
  <c r="AP35" i="4"/>
  <c r="BI35" i="4" s="1"/>
  <c r="AC35" i="4" s="1"/>
  <c r="AO35" i="4"/>
  <c r="BH35" i="4" s="1"/>
  <c r="AB35" i="4" s="1"/>
  <c r="AK35" i="4"/>
  <c r="AJ35" i="4"/>
  <c r="AH35" i="4"/>
  <c r="AG35" i="4"/>
  <c r="AF35" i="4"/>
  <c r="AE35" i="4"/>
  <c r="AD35" i="4"/>
  <c r="Z35" i="4"/>
  <c r="J35" i="4"/>
  <c r="AL35" i="4" s="1"/>
  <c r="I35" i="4"/>
  <c r="BJ34" i="4"/>
  <c r="BF34" i="4"/>
  <c r="BD34" i="4"/>
  <c r="AX34" i="4"/>
  <c r="AW34" i="4"/>
  <c r="AP34" i="4"/>
  <c r="BI34" i="4" s="1"/>
  <c r="AC34" i="4" s="1"/>
  <c r="AO34" i="4"/>
  <c r="H34" i="4" s="1"/>
  <c r="AK34" i="4"/>
  <c r="AJ34" i="4"/>
  <c r="AH34" i="4"/>
  <c r="AG34" i="4"/>
  <c r="AF34" i="4"/>
  <c r="AE34" i="4"/>
  <c r="AD34" i="4"/>
  <c r="Z34" i="4"/>
  <c r="J34" i="4"/>
  <c r="AL34" i="4" s="1"/>
  <c r="I34" i="4"/>
  <c r="BJ33" i="4"/>
  <c r="BF33" i="4"/>
  <c r="BD33" i="4"/>
  <c r="AX33" i="4"/>
  <c r="AP33" i="4"/>
  <c r="I33" i="4" s="1"/>
  <c r="AO33" i="4"/>
  <c r="AW33" i="4" s="1"/>
  <c r="BC33" i="4" s="1"/>
  <c r="AL33" i="4"/>
  <c r="AK33" i="4"/>
  <c r="AJ33" i="4"/>
  <c r="AH33" i="4"/>
  <c r="AG33" i="4"/>
  <c r="AF33" i="4"/>
  <c r="AE33" i="4"/>
  <c r="AD33" i="4"/>
  <c r="Z33" i="4"/>
  <c r="J33" i="4"/>
  <c r="BJ32" i="4"/>
  <c r="BF32" i="4"/>
  <c r="BD32" i="4"/>
  <c r="AW32" i="4"/>
  <c r="AP32" i="4"/>
  <c r="AX32" i="4" s="1"/>
  <c r="AO32" i="4"/>
  <c r="BH32" i="4" s="1"/>
  <c r="AB32" i="4" s="1"/>
  <c r="AK32" i="4"/>
  <c r="AJ32" i="4"/>
  <c r="AH32" i="4"/>
  <c r="AG32" i="4"/>
  <c r="AF32" i="4"/>
  <c r="AE32" i="4"/>
  <c r="AD32" i="4"/>
  <c r="Z32" i="4"/>
  <c r="J32" i="4"/>
  <c r="AL32" i="4" s="1"/>
  <c r="H32" i="4"/>
  <c r="BJ31" i="4"/>
  <c r="BF31" i="4"/>
  <c r="BD31" i="4"/>
  <c r="AX31" i="4"/>
  <c r="AP31" i="4"/>
  <c r="BI31" i="4" s="1"/>
  <c r="AC31" i="4" s="1"/>
  <c r="AO31" i="4"/>
  <c r="H31" i="4" s="1"/>
  <c r="AK31" i="4"/>
  <c r="AJ31" i="4"/>
  <c r="AH31" i="4"/>
  <c r="AG31" i="4"/>
  <c r="AF31" i="4"/>
  <c r="AE31" i="4"/>
  <c r="AD31" i="4"/>
  <c r="Z31" i="4"/>
  <c r="J31" i="4"/>
  <c r="AL31" i="4" s="1"/>
  <c r="I31" i="4"/>
  <c r="BJ30" i="4"/>
  <c r="BI30" i="4"/>
  <c r="BF30" i="4"/>
  <c r="BD30" i="4"/>
  <c r="AP30" i="4"/>
  <c r="I30" i="4" s="1"/>
  <c r="AO30" i="4"/>
  <c r="AW30" i="4" s="1"/>
  <c r="AK30" i="4"/>
  <c r="AJ30" i="4"/>
  <c r="AH30" i="4"/>
  <c r="AG30" i="4"/>
  <c r="AF30" i="4"/>
  <c r="AE30" i="4"/>
  <c r="AD30" i="4"/>
  <c r="AC30" i="4"/>
  <c r="Z30" i="4"/>
  <c r="J30" i="4"/>
  <c r="BJ29" i="4"/>
  <c r="BF29" i="4"/>
  <c r="BD29" i="4"/>
  <c r="AP29" i="4"/>
  <c r="AX29" i="4" s="1"/>
  <c r="AO29" i="4"/>
  <c r="BH29" i="4" s="1"/>
  <c r="AB29" i="4" s="1"/>
  <c r="AK29" i="4"/>
  <c r="AJ29" i="4"/>
  <c r="AH29" i="4"/>
  <c r="AG29" i="4"/>
  <c r="AF29" i="4"/>
  <c r="AE29" i="4"/>
  <c r="AD29" i="4"/>
  <c r="Z29" i="4"/>
  <c r="J29" i="4"/>
  <c r="AL29" i="4" s="1"/>
  <c r="BJ27" i="4"/>
  <c r="BF27" i="4"/>
  <c r="BD27" i="4"/>
  <c r="AP27" i="4"/>
  <c r="I27" i="4" s="1"/>
  <c r="AO27" i="4"/>
  <c r="AW27" i="4" s="1"/>
  <c r="AK27" i="4"/>
  <c r="AJ27" i="4"/>
  <c r="AS26" i="4" s="1"/>
  <c r="AH27" i="4"/>
  <c r="AG27" i="4"/>
  <c r="AF27" i="4"/>
  <c r="AE27" i="4"/>
  <c r="AD27" i="4"/>
  <c r="Z27" i="4"/>
  <c r="J27" i="4"/>
  <c r="J26" i="4" s="1"/>
  <c r="L17" i="3" s="1"/>
  <c r="N17" i="3" s="1"/>
  <c r="AT26" i="4"/>
  <c r="I26" i="4"/>
  <c r="K17" i="3" s="1"/>
  <c r="BJ25" i="4"/>
  <c r="BI25" i="4"/>
  <c r="AC25" i="4" s="1"/>
  <c r="BF25" i="4"/>
  <c r="BD25" i="4"/>
  <c r="AP25" i="4"/>
  <c r="AX25" i="4" s="1"/>
  <c r="AO25" i="4"/>
  <c r="H25" i="4" s="1"/>
  <c r="H24" i="4" s="1"/>
  <c r="J16" i="3" s="1"/>
  <c r="AK25" i="4"/>
  <c r="AT24" i="4" s="1"/>
  <c r="AJ25" i="4"/>
  <c r="AS24" i="4" s="1"/>
  <c r="AH25" i="4"/>
  <c r="AG25" i="4"/>
  <c r="AF25" i="4"/>
  <c r="AE25" i="4"/>
  <c r="AD25" i="4"/>
  <c r="Z25" i="4"/>
  <c r="J25" i="4"/>
  <c r="AL25" i="4" s="1"/>
  <c r="AU24" i="4" s="1"/>
  <c r="BJ23" i="4"/>
  <c r="BH23" i="4"/>
  <c r="AB23" i="4" s="1"/>
  <c r="BF23" i="4"/>
  <c r="BD23" i="4"/>
  <c r="AP23" i="4"/>
  <c r="AX23" i="4" s="1"/>
  <c r="AO23" i="4"/>
  <c r="AW23" i="4" s="1"/>
  <c r="AL23" i="4"/>
  <c r="AK23" i="4"/>
  <c r="AT21" i="4" s="1"/>
  <c r="AJ23" i="4"/>
  <c r="AH23" i="4"/>
  <c r="AG23" i="4"/>
  <c r="AF23" i="4"/>
  <c r="AE23" i="4"/>
  <c r="AD23" i="4"/>
  <c r="Z23" i="4"/>
  <c r="J23" i="4"/>
  <c r="I23" i="4"/>
  <c r="H23" i="4"/>
  <c r="BJ22" i="4"/>
  <c r="BH22" i="4"/>
  <c r="BF22" i="4"/>
  <c r="BD22" i="4"/>
  <c r="AP22" i="4"/>
  <c r="BI22" i="4" s="1"/>
  <c r="AC22" i="4" s="1"/>
  <c r="AO22" i="4"/>
  <c r="H22" i="4" s="1"/>
  <c r="AK22" i="4"/>
  <c r="AJ22" i="4"/>
  <c r="AH22" i="4"/>
  <c r="AG22" i="4"/>
  <c r="AF22" i="4"/>
  <c r="AE22" i="4"/>
  <c r="AD22" i="4"/>
  <c r="AB22" i="4"/>
  <c r="Z22" i="4"/>
  <c r="J22" i="4"/>
  <c r="AL22" i="4" s="1"/>
  <c r="AU21" i="4" s="1"/>
  <c r="J21" i="4"/>
  <c r="L15" i="3" s="1"/>
  <c r="N15" i="3" s="1"/>
  <c r="BJ20" i="4"/>
  <c r="BF20" i="4"/>
  <c r="BD20" i="4"/>
  <c r="AP20" i="4"/>
  <c r="AX20" i="4" s="1"/>
  <c r="AO20" i="4"/>
  <c r="BH20" i="4" s="1"/>
  <c r="AB20" i="4" s="1"/>
  <c r="AL20" i="4"/>
  <c r="AK20" i="4"/>
  <c r="AJ20" i="4"/>
  <c r="AH20" i="4"/>
  <c r="AG20" i="4"/>
  <c r="AF20" i="4"/>
  <c r="AE20" i="4"/>
  <c r="AD20" i="4"/>
  <c r="Z20" i="4"/>
  <c r="J20" i="4"/>
  <c r="I20" i="4"/>
  <c r="H20" i="4"/>
  <c r="BJ19" i="4"/>
  <c r="BH19" i="4"/>
  <c r="AB19" i="4" s="1"/>
  <c r="BF19" i="4"/>
  <c r="BD19" i="4"/>
  <c r="AX19" i="4"/>
  <c r="AV19" i="4" s="1"/>
  <c r="AW19" i="4"/>
  <c r="AP19" i="4"/>
  <c r="BI19" i="4" s="1"/>
  <c r="AC19" i="4" s="1"/>
  <c r="AO19" i="4"/>
  <c r="AK19" i="4"/>
  <c r="AJ19" i="4"/>
  <c r="AH19" i="4"/>
  <c r="AG19" i="4"/>
  <c r="AF19" i="4"/>
  <c r="AE19" i="4"/>
  <c r="AD19" i="4"/>
  <c r="Z19" i="4"/>
  <c r="J19" i="4"/>
  <c r="AL19" i="4" s="1"/>
  <c r="H19" i="4"/>
  <c r="BJ18" i="4"/>
  <c r="BF18" i="4"/>
  <c r="BD18" i="4"/>
  <c r="AX18" i="4"/>
  <c r="AP18" i="4"/>
  <c r="BI18" i="4" s="1"/>
  <c r="AC18" i="4" s="1"/>
  <c r="AO18" i="4"/>
  <c r="AW18" i="4" s="1"/>
  <c r="AK18" i="4"/>
  <c r="AJ18" i="4"/>
  <c r="AH18" i="4"/>
  <c r="AG18" i="4"/>
  <c r="AF18" i="4"/>
  <c r="AE18" i="4"/>
  <c r="AD18" i="4"/>
  <c r="Z18" i="4"/>
  <c r="J18" i="4"/>
  <c r="I18" i="4"/>
  <c r="BJ16" i="4"/>
  <c r="BF16" i="4"/>
  <c r="BD16" i="4"/>
  <c r="AP16" i="4"/>
  <c r="I16" i="4" s="1"/>
  <c r="AO16" i="4"/>
  <c r="BH16" i="4" s="1"/>
  <c r="AB16" i="4" s="1"/>
  <c r="AK16" i="4"/>
  <c r="AJ16" i="4"/>
  <c r="AH16" i="4"/>
  <c r="AG16" i="4"/>
  <c r="AF16" i="4"/>
  <c r="AE16" i="4"/>
  <c r="AD16" i="4"/>
  <c r="Z16" i="4"/>
  <c r="J16" i="4"/>
  <c r="AL16" i="4" s="1"/>
  <c r="BJ15" i="4"/>
  <c r="BF15" i="4"/>
  <c r="BD15" i="4"/>
  <c r="AP15" i="4"/>
  <c r="BI15" i="4" s="1"/>
  <c r="AC15" i="4" s="1"/>
  <c r="AO15" i="4"/>
  <c r="BH15" i="4" s="1"/>
  <c r="AB15" i="4" s="1"/>
  <c r="AK15" i="4"/>
  <c r="AJ15" i="4"/>
  <c r="AH15" i="4"/>
  <c r="AG15" i="4"/>
  <c r="AF15" i="4"/>
  <c r="AE15" i="4"/>
  <c r="AD15" i="4"/>
  <c r="Z15" i="4"/>
  <c r="J15" i="4"/>
  <c r="AL15" i="4" s="1"/>
  <c r="BJ14" i="4"/>
  <c r="BF14" i="4"/>
  <c r="BD14" i="4"/>
  <c r="AX14" i="4"/>
  <c r="AP14" i="4"/>
  <c r="BI14" i="4" s="1"/>
  <c r="AC14" i="4" s="1"/>
  <c r="AO14" i="4"/>
  <c r="BH14" i="4" s="1"/>
  <c r="AB14" i="4" s="1"/>
  <c r="AK14" i="4"/>
  <c r="AT13" i="4" s="1"/>
  <c r="AJ14" i="4"/>
  <c r="AS13" i="4" s="1"/>
  <c r="AH14" i="4"/>
  <c r="AG14" i="4"/>
  <c r="AF14" i="4"/>
  <c r="AE14" i="4"/>
  <c r="AD14" i="4"/>
  <c r="Z14" i="4"/>
  <c r="J14" i="4"/>
  <c r="AL14" i="4" s="1"/>
  <c r="AU1" i="4"/>
  <c r="AT1" i="4"/>
  <c r="AS1" i="4"/>
  <c r="P59" i="3"/>
  <c r="L59" i="3"/>
  <c r="N59" i="3" s="1"/>
  <c r="P58" i="3"/>
  <c r="J58" i="3"/>
  <c r="P57" i="3"/>
  <c r="P56" i="3"/>
  <c r="N55" i="3"/>
  <c r="P54" i="3"/>
  <c r="J54" i="3"/>
  <c r="P53" i="3"/>
  <c r="P52" i="3"/>
  <c r="P51" i="3"/>
  <c r="L51" i="3"/>
  <c r="N51" i="3" s="1"/>
  <c r="P50" i="3"/>
  <c r="K50" i="3"/>
  <c r="P49" i="3"/>
  <c r="K49" i="3"/>
  <c r="P48" i="3"/>
  <c r="P47" i="3"/>
  <c r="K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L19" i="3"/>
  <c r="N19" i="3" s="1"/>
  <c r="J19" i="3"/>
  <c r="P18" i="3"/>
  <c r="P17" i="3"/>
  <c r="P16" i="3"/>
  <c r="P15" i="3"/>
  <c r="P14" i="3"/>
  <c r="P13" i="3"/>
  <c r="N12" i="3"/>
  <c r="J8" i="3"/>
  <c r="H8" i="3"/>
  <c r="D8" i="3"/>
  <c r="J6" i="3"/>
  <c r="H6" i="3"/>
  <c r="D6" i="3"/>
  <c r="J4" i="3"/>
  <c r="H4" i="3"/>
  <c r="D4" i="3"/>
  <c r="J2" i="3"/>
  <c r="H2" i="3"/>
  <c r="D2" i="3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I26" i="2"/>
  <c r="I19" i="1" s="1"/>
  <c r="I25" i="2"/>
  <c r="I18" i="1" s="1"/>
  <c r="I24" i="2"/>
  <c r="I17" i="1" s="1"/>
  <c r="I23" i="2"/>
  <c r="I16" i="1" s="1"/>
  <c r="I22" i="2"/>
  <c r="I21" i="2"/>
  <c r="I17" i="2"/>
  <c r="F16" i="1" s="1"/>
  <c r="I16" i="2"/>
  <c r="F15" i="1" s="1"/>
  <c r="I15" i="2"/>
  <c r="I10" i="2"/>
  <c r="F10" i="2"/>
  <c r="C10" i="2"/>
  <c r="F8" i="2"/>
  <c r="C8" i="2"/>
  <c r="F6" i="2"/>
  <c r="C6" i="2"/>
  <c r="F4" i="2"/>
  <c r="C4" i="2"/>
  <c r="F2" i="2"/>
  <c r="C2" i="2"/>
  <c r="I15" i="1"/>
  <c r="F14" i="1"/>
  <c r="I10" i="1"/>
  <c r="F10" i="1"/>
  <c r="C10" i="1"/>
  <c r="F8" i="1"/>
  <c r="C8" i="1"/>
  <c r="F6" i="1"/>
  <c r="C6" i="1"/>
  <c r="F4" i="1"/>
  <c r="C4" i="1"/>
  <c r="F2" i="1"/>
  <c r="C2" i="1"/>
  <c r="AU152" i="4" l="1"/>
  <c r="I269" i="4"/>
  <c r="K48" i="3" s="1"/>
  <c r="BC123" i="4"/>
  <c r="AU114" i="4"/>
  <c r="I43" i="4"/>
  <c r="I42" i="4" s="1"/>
  <c r="K19" i="3" s="1"/>
  <c r="I216" i="4"/>
  <c r="H221" i="4"/>
  <c r="H18" i="4"/>
  <c r="H17" i="4" s="1"/>
  <c r="J14" i="3" s="1"/>
  <c r="BI27" i="4"/>
  <c r="AC27" i="4" s="1"/>
  <c r="H33" i="4"/>
  <c r="H35" i="4"/>
  <c r="BI36" i="4"/>
  <c r="AC36" i="4" s="1"/>
  <c r="AW40" i="4"/>
  <c r="BC40" i="4" s="1"/>
  <c r="AW43" i="4"/>
  <c r="AV43" i="4" s="1"/>
  <c r="AX53" i="4"/>
  <c r="AT56" i="4"/>
  <c r="I59" i="4"/>
  <c r="I56" i="4" s="1"/>
  <c r="K21" i="3" s="1"/>
  <c r="AW59" i="4"/>
  <c r="AT63" i="4"/>
  <c r="I66" i="4"/>
  <c r="I63" i="4" s="1"/>
  <c r="K23" i="3" s="1"/>
  <c r="AX66" i="4"/>
  <c r="I84" i="4"/>
  <c r="BI112" i="4"/>
  <c r="AE112" i="4" s="1"/>
  <c r="BI115" i="4"/>
  <c r="AE115" i="4" s="1"/>
  <c r="AX118" i="4"/>
  <c r="H123" i="4"/>
  <c r="H120" i="4" s="1"/>
  <c r="J33" i="3" s="1"/>
  <c r="AX123" i="4"/>
  <c r="I125" i="4"/>
  <c r="AX125" i="4"/>
  <c r="AW133" i="4"/>
  <c r="H140" i="4"/>
  <c r="AW147" i="4"/>
  <c r="BC147" i="4" s="1"/>
  <c r="BH155" i="4"/>
  <c r="AD155" i="4" s="1"/>
  <c r="AW162" i="4"/>
  <c r="BC162" i="4" s="1"/>
  <c r="BH163" i="4"/>
  <c r="AD163" i="4" s="1"/>
  <c r="AX166" i="4"/>
  <c r="AV166" i="4" s="1"/>
  <c r="AS178" i="4"/>
  <c r="H189" i="4"/>
  <c r="H204" i="4"/>
  <c r="H206" i="4"/>
  <c r="AX206" i="4"/>
  <c r="BC206" i="4" s="1"/>
  <c r="I211" i="4"/>
  <c r="AX211" i="4"/>
  <c r="AX216" i="4"/>
  <c r="AX224" i="4"/>
  <c r="AX251" i="4"/>
  <c r="BC251" i="4" s="1"/>
  <c r="AW253" i="4"/>
  <c r="AX264" i="4"/>
  <c r="AV264" i="4" s="1"/>
  <c r="AS269" i="4"/>
  <c r="AX271" i="4"/>
  <c r="BC271" i="4" s="1"/>
  <c r="AT285" i="4"/>
  <c r="H290" i="4"/>
  <c r="AX305" i="4"/>
  <c r="AX316" i="4"/>
  <c r="BC316" i="4" s="1"/>
  <c r="AW318" i="4"/>
  <c r="I324" i="4"/>
  <c r="AX345" i="4"/>
  <c r="H352" i="4"/>
  <c r="I27" i="2"/>
  <c r="AW20" i="4"/>
  <c r="BC20" i="4" s="1"/>
  <c r="H21" i="4"/>
  <c r="J15" i="3" s="1"/>
  <c r="AW25" i="4"/>
  <c r="BC25" i="4" s="1"/>
  <c r="AW29" i="4"/>
  <c r="BC29" i="4" s="1"/>
  <c r="AV33" i="4"/>
  <c r="AW35" i="4"/>
  <c r="AV35" i="4" s="1"/>
  <c r="AT44" i="4"/>
  <c r="H47" i="4"/>
  <c r="BH49" i="4"/>
  <c r="AB49" i="4" s="1"/>
  <c r="I97" i="4"/>
  <c r="K28" i="3" s="1"/>
  <c r="J120" i="4"/>
  <c r="L33" i="3" s="1"/>
  <c r="N33" i="3" s="1"/>
  <c r="AW121" i="4"/>
  <c r="BC121" i="4" s="1"/>
  <c r="BI137" i="4"/>
  <c r="AE137" i="4" s="1"/>
  <c r="J152" i="4"/>
  <c r="L36" i="3" s="1"/>
  <c r="N36" i="3" s="1"/>
  <c r="AW153" i="4"/>
  <c r="BC153" i="4" s="1"/>
  <c r="AW168" i="4"/>
  <c r="AT178" i="4"/>
  <c r="H191" i="4"/>
  <c r="AW191" i="4"/>
  <c r="AW204" i="4"/>
  <c r="AV204" i="4" s="1"/>
  <c r="AW221" i="4"/>
  <c r="BC221" i="4" s="1"/>
  <c r="AX253" i="4"/>
  <c r="BH255" i="4"/>
  <c r="AD255" i="4" s="1"/>
  <c r="AX262" i="4"/>
  <c r="AV262" i="4" s="1"/>
  <c r="AT260" i="4"/>
  <c r="H274" i="4"/>
  <c r="H273" i="4" s="1"/>
  <c r="J49" i="3" s="1"/>
  <c r="AW274" i="4"/>
  <c r="BC274" i="4" s="1"/>
  <c r="AW281" i="4"/>
  <c r="J285" i="4"/>
  <c r="L52" i="3" s="1"/>
  <c r="N52" i="3" s="1"/>
  <c r="AW290" i="4"/>
  <c r="AU295" i="4"/>
  <c r="AW331" i="4"/>
  <c r="AW339" i="4"/>
  <c r="J347" i="4"/>
  <c r="L57" i="3" s="1"/>
  <c r="N57" i="3" s="1"/>
  <c r="AS351" i="4"/>
  <c r="H168" i="4"/>
  <c r="J17" i="4"/>
  <c r="L14" i="3" s="1"/>
  <c r="N14" i="3" s="1"/>
  <c r="AT17" i="4"/>
  <c r="BH31" i="4"/>
  <c r="AB31" i="4" s="1"/>
  <c r="AX75" i="4"/>
  <c r="BH81" i="4"/>
  <c r="AB81" i="4" s="1"/>
  <c r="BC92" i="4"/>
  <c r="J97" i="4"/>
  <c r="L28" i="3" s="1"/>
  <c r="N28" i="3" s="1"/>
  <c r="AX98" i="4"/>
  <c r="AV98" i="4" s="1"/>
  <c r="AS103" i="4"/>
  <c r="H136" i="4"/>
  <c r="AX138" i="4"/>
  <c r="BC138" i="4" s="1"/>
  <c r="I149" i="4"/>
  <c r="K35" i="3" s="1"/>
  <c r="H156" i="4"/>
  <c r="H164" i="4"/>
  <c r="AX171" i="4"/>
  <c r="AX183" i="4"/>
  <c r="AW213" i="4"/>
  <c r="AV213" i="4" s="1"/>
  <c r="BH246" i="4"/>
  <c r="AD246" i="4" s="1"/>
  <c r="J257" i="4"/>
  <c r="L45" i="3" s="1"/>
  <c r="N45" i="3" s="1"/>
  <c r="AX259" i="4"/>
  <c r="AV259" i="4" s="1"/>
  <c r="BC267" i="4"/>
  <c r="AU280" i="4"/>
  <c r="H286" i="4"/>
  <c r="BC288" i="4"/>
  <c r="AX293" i="4"/>
  <c r="BH297" i="4"/>
  <c r="AB297" i="4" s="1"/>
  <c r="H309" i="4"/>
  <c r="I326" i="4"/>
  <c r="AT351" i="4"/>
  <c r="I15" i="4"/>
  <c r="AW15" i="4"/>
  <c r="BC30" i="4"/>
  <c r="BC41" i="4"/>
  <c r="H50" i="4"/>
  <c r="BC57" i="4"/>
  <c r="H64" i="4"/>
  <c r="H63" i="4" s="1"/>
  <c r="J23" i="3" s="1"/>
  <c r="AX64" i="4"/>
  <c r="H72" i="4"/>
  <c r="AX84" i="4"/>
  <c r="AV84" i="4" s="1"/>
  <c r="AX90" i="4"/>
  <c r="J100" i="4"/>
  <c r="L29" i="3" s="1"/>
  <c r="N29" i="3" s="1"/>
  <c r="AX101" i="4"/>
  <c r="AV101" i="4" s="1"/>
  <c r="I104" i="4"/>
  <c r="AX104" i="4"/>
  <c r="BC104" i="4" s="1"/>
  <c r="I111" i="4"/>
  <c r="AX111" i="4"/>
  <c r="AS114" i="4"/>
  <c r="BH118" i="4"/>
  <c r="AD118" i="4" s="1"/>
  <c r="AS120" i="4"/>
  <c r="AW128" i="4"/>
  <c r="I136" i="4"/>
  <c r="BC143" i="4"/>
  <c r="AW145" i="4"/>
  <c r="J149" i="4"/>
  <c r="L35" i="3" s="1"/>
  <c r="N35" i="3" s="1"/>
  <c r="AW150" i="4"/>
  <c r="AW156" i="4"/>
  <c r="AX158" i="4"/>
  <c r="BC158" i="4" s="1"/>
  <c r="BI162" i="4"/>
  <c r="AE162" i="4" s="1"/>
  <c r="AW164" i="4"/>
  <c r="AX176" i="4"/>
  <c r="AX189" i="4"/>
  <c r="AV197" i="4"/>
  <c r="AX201" i="4"/>
  <c r="BC201" i="4" s="1"/>
  <c r="AS202" i="4"/>
  <c r="BI206" i="4"/>
  <c r="AE206" i="4" s="1"/>
  <c r="H230" i="4"/>
  <c r="AW233" i="4"/>
  <c r="BI246" i="4"/>
  <c r="AE246" i="4" s="1"/>
  <c r="BI251" i="4"/>
  <c r="AE251" i="4" s="1"/>
  <c r="AS260" i="4"/>
  <c r="BI271" i="4"/>
  <c r="AE271" i="4" s="1"/>
  <c r="H277" i="4"/>
  <c r="AW277" i="4"/>
  <c r="AV277" i="4" s="1"/>
  <c r="AU285" i="4"/>
  <c r="AW286" i="4"/>
  <c r="BC286" i="4" s="1"/>
  <c r="AS285" i="4"/>
  <c r="J295" i="4"/>
  <c r="L53" i="3" s="1"/>
  <c r="N53" i="3" s="1"/>
  <c r="H301" i="4"/>
  <c r="AW301" i="4"/>
  <c r="AX307" i="4"/>
  <c r="BC307" i="4" s="1"/>
  <c r="AX321" i="4"/>
  <c r="AX324" i="4"/>
  <c r="AV324" i="4" s="1"/>
  <c r="I354" i="4"/>
  <c r="BH25" i="4"/>
  <c r="AB25" i="4" s="1"/>
  <c r="AS68" i="4"/>
  <c r="BH77" i="4"/>
  <c r="AB77" i="4" s="1"/>
  <c r="AU103" i="4"/>
  <c r="BC148" i="4"/>
  <c r="AT152" i="4"/>
  <c r="J178" i="4"/>
  <c r="L38" i="3" s="1"/>
  <c r="N38" i="3" s="1"/>
  <c r="J186" i="4"/>
  <c r="L39" i="3" s="1"/>
  <c r="N39" i="3" s="1"/>
  <c r="BC245" i="4"/>
  <c r="C20" i="1"/>
  <c r="J28" i="4"/>
  <c r="L18" i="3" s="1"/>
  <c r="N18" i="3" s="1"/>
  <c r="AX30" i="4"/>
  <c r="AV30" i="4" s="1"/>
  <c r="I32" i="4"/>
  <c r="J44" i="4"/>
  <c r="L20" i="3" s="1"/>
  <c r="N20" i="3" s="1"/>
  <c r="AV54" i="4"/>
  <c r="I60" i="4"/>
  <c r="AX60" i="4"/>
  <c r="AX87" i="4"/>
  <c r="AV126" i="4"/>
  <c r="H141" i="4"/>
  <c r="AT149" i="4"/>
  <c r="H163" i="4"/>
  <c r="H167" i="4"/>
  <c r="AX169" i="4"/>
  <c r="AV181" i="4"/>
  <c r="AT186" i="4"/>
  <c r="AX195" i="4"/>
  <c r="BC195" i="4" s="1"/>
  <c r="I207" i="4"/>
  <c r="H209" i="4"/>
  <c r="I252" i="4"/>
  <c r="AX252" i="4"/>
  <c r="AX256" i="4"/>
  <c r="BC256" i="4" s="1"/>
  <c r="AS257" i="4"/>
  <c r="I272" i="4"/>
  <c r="BH281" i="4"/>
  <c r="AB281" i="4" s="1"/>
  <c r="I291" i="4"/>
  <c r="I298" i="4"/>
  <c r="H314" i="4"/>
  <c r="I317" i="4"/>
  <c r="AV323" i="4"/>
  <c r="H346" i="4"/>
  <c r="H348" i="4"/>
  <c r="H347" i="4" s="1"/>
  <c r="J57" i="3" s="1"/>
  <c r="AV354" i="4"/>
  <c r="AV34" i="4"/>
  <c r="AS108" i="4"/>
  <c r="BC119" i="4"/>
  <c r="I163" i="4"/>
  <c r="BC163" i="4"/>
  <c r="H260" i="4"/>
  <c r="J46" i="3" s="1"/>
  <c r="AS275" i="4"/>
  <c r="AX317" i="4"/>
  <c r="AX323" i="4"/>
  <c r="BC323" i="4" s="1"/>
  <c r="F22" i="1"/>
  <c r="BC122" i="4"/>
  <c r="AS132" i="4"/>
  <c r="AU244" i="4"/>
  <c r="C21" i="1"/>
  <c r="H49" i="4"/>
  <c r="H58" i="4"/>
  <c r="AX58" i="4"/>
  <c r="BH76" i="4"/>
  <c r="AB76" i="4" s="1"/>
  <c r="AW78" i="4"/>
  <c r="AU88" i="4"/>
  <c r="AX91" i="4"/>
  <c r="BC91" i="4" s="1"/>
  <c r="AW99" i="4"/>
  <c r="I102" i="4"/>
  <c r="I100" i="4" s="1"/>
  <c r="K29" i="3" s="1"/>
  <c r="AW122" i="4"/>
  <c r="AV122" i="4" s="1"/>
  <c r="H129" i="4"/>
  <c r="H137" i="4"/>
  <c r="H144" i="4"/>
  <c r="AV155" i="4"/>
  <c r="AX157" i="4"/>
  <c r="H159" i="4"/>
  <c r="H161" i="4"/>
  <c r="AX161" i="4"/>
  <c r="AV163" i="4"/>
  <c r="AW190" i="4"/>
  <c r="BC190" i="4" s="1"/>
  <c r="J202" i="4"/>
  <c r="L40" i="3" s="1"/>
  <c r="N40" i="3" s="1"/>
  <c r="AW205" i="4"/>
  <c r="AV205" i="4" s="1"/>
  <c r="I238" i="4"/>
  <c r="AL251" i="4"/>
  <c r="AU250" i="4" s="1"/>
  <c r="BI265" i="4"/>
  <c r="AE265" i="4" s="1"/>
  <c r="AS266" i="4"/>
  <c r="AW268" i="4"/>
  <c r="AV284" i="4"/>
  <c r="AX287" i="4"/>
  <c r="I289" i="4"/>
  <c r="AW289" i="4"/>
  <c r="AV289" i="4" s="1"/>
  <c r="AW298" i="4"/>
  <c r="AX306" i="4"/>
  <c r="AV306" i="4" s="1"/>
  <c r="H308" i="4"/>
  <c r="AW314" i="4"/>
  <c r="I325" i="4"/>
  <c r="AW325" i="4"/>
  <c r="I332" i="4"/>
  <c r="AW332" i="4"/>
  <c r="BC332" i="4" s="1"/>
  <c r="I340" i="4"/>
  <c r="H345" i="4"/>
  <c r="H344" i="4" s="1"/>
  <c r="J56" i="3" s="1"/>
  <c r="AT344" i="4"/>
  <c r="I18" i="2"/>
  <c r="F29" i="2" s="1"/>
  <c r="AS17" i="4"/>
  <c r="AX27" i="4"/>
  <c r="AV27" i="4" s="1"/>
  <c r="AW36" i="4"/>
  <c r="BC36" i="4" s="1"/>
  <c r="AW46" i="4"/>
  <c r="AV46" i="4" s="1"/>
  <c r="AV49" i="4"/>
  <c r="H55" i="4"/>
  <c r="AV55" i="4"/>
  <c r="AX78" i="4"/>
  <c r="AW85" i="4"/>
  <c r="AT88" i="4"/>
  <c r="AW105" i="4"/>
  <c r="J108" i="4"/>
  <c r="L31" i="3" s="1"/>
  <c r="N31" i="3" s="1"/>
  <c r="AW112" i="4"/>
  <c r="AW115" i="4"/>
  <c r="AT120" i="4"/>
  <c r="BI126" i="4"/>
  <c r="AE126" i="4" s="1"/>
  <c r="AW137" i="4"/>
  <c r="AX155" i="4"/>
  <c r="BC155" i="4" s="1"/>
  <c r="AW159" i="4"/>
  <c r="BC159" i="4" s="1"/>
  <c r="AX163" i="4"/>
  <c r="AW170" i="4"/>
  <c r="BC170" i="4" s="1"/>
  <c r="AS173" i="4"/>
  <c r="AW180" i="4"/>
  <c r="BI195" i="4"/>
  <c r="AE195" i="4" s="1"/>
  <c r="BI254" i="4"/>
  <c r="AE254" i="4" s="1"/>
  <c r="AU260" i="4"/>
  <c r="AX268" i="4"/>
  <c r="BC268" i="4" s="1"/>
  <c r="H275" i="4"/>
  <c r="J50" i="3" s="1"/>
  <c r="BC276" i="4"/>
  <c r="AS280" i="4"/>
  <c r="AW294" i="4"/>
  <c r="AW297" i="4"/>
  <c r="AX298" i="4"/>
  <c r="AW308" i="4"/>
  <c r="BC308" i="4" s="1"/>
  <c r="AX314" i="4"/>
  <c r="AV314" i="4" s="1"/>
  <c r="AX325" i="4"/>
  <c r="BC325" i="4" s="1"/>
  <c r="AX332" i="4"/>
  <c r="AV14" i="4"/>
  <c r="H16" i="4"/>
  <c r="BC27" i="4"/>
  <c r="AX16" i="4"/>
  <c r="J24" i="4"/>
  <c r="L16" i="3" s="1"/>
  <c r="N16" i="3" s="1"/>
  <c r="C28" i="1"/>
  <c r="F28" i="1" s="1"/>
  <c r="H14" i="4"/>
  <c r="AW14" i="4"/>
  <c r="BC14" i="4" s="1"/>
  <c r="AS21" i="4"/>
  <c r="I62" i="4"/>
  <c r="I61" i="4" s="1"/>
  <c r="K22" i="3" s="1"/>
  <c r="H69" i="4"/>
  <c r="H68" i="4" s="1"/>
  <c r="J24" i="3" s="1"/>
  <c r="BH73" i="4"/>
  <c r="AB73" i="4" s="1"/>
  <c r="J88" i="4"/>
  <c r="L27" i="3" s="1"/>
  <c r="N27" i="3" s="1"/>
  <c r="AV123" i="4"/>
  <c r="BI124" i="4"/>
  <c r="AE124" i="4" s="1"/>
  <c r="AX127" i="4"/>
  <c r="AV127" i="4" s="1"/>
  <c r="BI139" i="4"/>
  <c r="AE139" i="4" s="1"/>
  <c r="AX142" i="4"/>
  <c r="BH148" i="4"/>
  <c r="AX174" i="4"/>
  <c r="BC174" i="4" s="1"/>
  <c r="AV177" i="4"/>
  <c r="I182" i="4"/>
  <c r="I185" i="4"/>
  <c r="H198" i="4"/>
  <c r="AT202" i="4"/>
  <c r="AV206" i="4"/>
  <c r="AV229" i="4"/>
  <c r="AT234" i="4"/>
  <c r="AX238" i="4"/>
  <c r="AT239" i="4"/>
  <c r="BC262" i="4"/>
  <c r="AW282" i="4"/>
  <c r="BH291" i="4"/>
  <c r="AB291" i="4" s="1"/>
  <c r="I300" i="4"/>
  <c r="AV300" i="4"/>
  <c r="I305" i="4"/>
  <c r="H316" i="4"/>
  <c r="I334" i="4"/>
  <c r="I342" i="4"/>
  <c r="I341" i="4" s="1"/>
  <c r="K54" i="3" s="1"/>
  <c r="AW342" i="4"/>
  <c r="AX342" i="4"/>
  <c r="AW175" i="4"/>
  <c r="BC175" i="4" s="1"/>
  <c r="J173" i="4"/>
  <c r="L37" i="3" s="1"/>
  <c r="N37" i="3" s="1"/>
  <c r="H175" i="4"/>
  <c r="AU173" i="4"/>
  <c r="C19" i="1"/>
  <c r="I174" i="4"/>
  <c r="AV18" i="4"/>
  <c r="BC18" i="4"/>
  <c r="AV23" i="4"/>
  <c r="BC23" i="4"/>
  <c r="I45" i="2"/>
  <c r="I24" i="1" s="1"/>
  <c r="AU13" i="4"/>
  <c r="I14" i="1"/>
  <c r="I22" i="1" s="1"/>
  <c r="I14" i="4"/>
  <c r="I13" i="4" s="1"/>
  <c r="H15" i="4"/>
  <c r="H13" i="4" s="1"/>
  <c r="BI16" i="4"/>
  <c r="AC16" i="4" s="1"/>
  <c r="I19" i="4"/>
  <c r="I17" i="4" s="1"/>
  <c r="K14" i="3" s="1"/>
  <c r="BC19" i="4"/>
  <c r="H27" i="4"/>
  <c r="H26" i="4" s="1"/>
  <c r="J17" i="3" s="1"/>
  <c r="AT28" i="4"/>
  <c r="AV29" i="4"/>
  <c r="H30" i="4"/>
  <c r="BC35" i="4"/>
  <c r="AV40" i="4"/>
  <c r="BC46" i="4"/>
  <c r="AV47" i="4"/>
  <c r="BC50" i="4"/>
  <c r="AV52" i="4"/>
  <c r="BC53" i="4"/>
  <c r="AV53" i="4"/>
  <c r="AS74" i="4"/>
  <c r="AX15" i="4"/>
  <c r="BC15" i="4" s="1"/>
  <c r="AW16" i="4"/>
  <c r="AW22" i="4"/>
  <c r="H29" i="4"/>
  <c r="AL45" i="4"/>
  <c r="AU44" i="4" s="1"/>
  <c r="AV48" i="4"/>
  <c r="BC48" i="4"/>
  <c r="BC52" i="4"/>
  <c r="AV64" i="4"/>
  <c r="BC64" i="4"/>
  <c r="AL76" i="4"/>
  <c r="AU74" i="4" s="1"/>
  <c r="J74" i="4"/>
  <c r="L25" i="3" s="1"/>
  <c r="N25" i="3" s="1"/>
  <c r="AW38" i="4"/>
  <c r="H38" i="4"/>
  <c r="C27" i="1"/>
  <c r="J13" i="4"/>
  <c r="AL18" i="4"/>
  <c r="AU17" i="4" s="1"/>
  <c r="I22" i="4"/>
  <c r="I21" i="4" s="1"/>
  <c r="K15" i="3" s="1"/>
  <c r="AX22" i="4"/>
  <c r="AL27" i="4"/>
  <c r="AU26" i="4" s="1"/>
  <c r="BH27" i="4"/>
  <c r="AB27" i="4" s="1"/>
  <c r="I29" i="4"/>
  <c r="AL30" i="4"/>
  <c r="AU28" i="4" s="1"/>
  <c r="BH30" i="4"/>
  <c r="AB30" i="4" s="1"/>
  <c r="H37" i="4"/>
  <c r="BH37" i="4"/>
  <c r="AB37" i="4" s="1"/>
  <c r="BC45" i="4"/>
  <c r="AV45" i="4"/>
  <c r="BI70" i="4"/>
  <c r="AC70" i="4" s="1"/>
  <c r="AX70" i="4"/>
  <c r="AV70" i="4" s="1"/>
  <c r="I70" i="4"/>
  <c r="I68" i="4" s="1"/>
  <c r="K24" i="3" s="1"/>
  <c r="BH18" i="4"/>
  <c r="AB18" i="4" s="1"/>
  <c r="AS28" i="4"/>
  <c r="AV32" i="4"/>
  <c r="BC39" i="4"/>
  <c r="AV39" i="4"/>
  <c r="BC54" i="4"/>
  <c r="BC65" i="4"/>
  <c r="I25" i="4"/>
  <c r="I24" i="4" s="1"/>
  <c r="K16" i="3" s="1"/>
  <c r="AW31" i="4"/>
  <c r="BC32" i="4"/>
  <c r="BC34" i="4"/>
  <c r="AV36" i="4"/>
  <c r="BI48" i="4"/>
  <c r="AC48" i="4" s="1"/>
  <c r="H56" i="4"/>
  <c r="J21" i="3" s="1"/>
  <c r="AL58" i="4"/>
  <c r="AU56" i="4" s="1"/>
  <c r="J56" i="4"/>
  <c r="L21" i="3" s="1"/>
  <c r="N21" i="3" s="1"/>
  <c r="AX71" i="4"/>
  <c r="AV71" i="4" s="1"/>
  <c r="BI71" i="4"/>
  <c r="AC71" i="4" s="1"/>
  <c r="I71" i="4"/>
  <c r="AL64" i="4"/>
  <c r="AU63" i="4" s="1"/>
  <c r="J63" i="4"/>
  <c r="L23" i="3" s="1"/>
  <c r="N23" i="3" s="1"/>
  <c r="BI29" i="4"/>
  <c r="AC29" i="4" s="1"/>
  <c r="BC37" i="4"/>
  <c r="BH38" i="4"/>
  <c r="AB38" i="4" s="1"/>
  <c r="I48" i="4"/>
  <c r="AV58" i="4"/>
  <c r="BC58" i="4"/>
  <c r="AX67" i="4"/>
  <c r="AV67" i="4" s="1"/>
  <c r="I67" i="4"/>
  <c r="AX37" i="4"/>
  <c r="AV37" i="4" s="1"/>
  <c r="I37" i="4"/>
  <c r="AX50" i="4"/>
  <c r="AV50" i="4" s="1"/>
  <c r="I50" i="4"/>
  <c r="AW51" i="4"/>
  <c r="H51" i="4"/>
  <c r="AV57" i="4"/>
  <c r="AU68" i="4"/>
  <c r="BC84" i="4"/>
  <c r="BC98" i="4"/>
  <c r="BC160" i="4"/>
  <c r="BI51" i="4"/>
  <c r="AC51" i="4" s="1"/>
  <c r="BH52" i="4"/>
  <c r="AB52" i="4" s="1"/>
  <c r="AX59" i="4"/>
  <c r="AV59" i="4" s="1"/>
  <c r="AW60" i="4"/>
  <c r="AX62" i="4"/>
  <c r="AV62" i="4" s="1"/>
  <c r="AX65" i="4"/>
  <c r="AV65" i="4" s="1"/>
  <c r="AW66" i="4"/>
  <c r="AW69" i="4"/>
  <c r="AV104" i="4"/>
  <c r="BI38" i="4"/>
  <c r="AC38" i="4" s="1"/>
  <c r="BH39" i="4"/>
  <c r="AB39" i="4" s="1"/>
  <c r="BH45" i="4"/>
  <c r="AB45" i="4" s="1"/>
  <c r="BI52" i="4"/>
  <c r="AC52" i="4" s="1"/>
  <c r="BH53" i="4"/>
  <c r="AB53" i="4" s="1"/>
  <c r="BC102" i="4"/>
  <c r="BC118" i="4"/>
  <c r="AV118" i="4"/>
  <c r="BI39" i="4"/>
  <c r="AC39" i="4" s="1"/>
  <c r="BH40" i="4"/>
  <c r="AB40" i="4" s="1"/>
  <c r="BH43" i="4"/>
  <c r="AB43" i="4" s="1"/>
  <c r="BI45" i="4"/>
  <c r="AC45" i="4" s="1"/>
  <c r="BH46" i="4"/>
  <c r="AB46" i="4" s="1"/>
  <c r="I51" i="4"/>
  <c r="H52" i="4"/>
  <c r="BI53" i="4"/>
  <c r="AC53" i="4" s="1"/>
  <c r="BH54" i="4"/>
  <c r="AB54" i="4" s="1"/>
  <c r="BH57" i="4"/>
  <c r="AB57" i="4" s="1"/>
  <c r="J61" i="4"/>
  <c r="L22" i="3" s="1"/>
  <c r="N22" i="3" s="1"/>
  <c r="AW77" i="4"/>
  <c r="J83" i="4"/>
  <c r="L26" i="3" s="1"/>
  <c r="N26" i="3" s="1"/>
  <c r="AS88" i="4"/>
  <c r="BC94" i="4"/>
  <c r="AV94" i="4"/>
  <c r="AV95" i="4"/>
  <c r="BC95" i="4"/>
  <c r="AU108" i="4"/>
  <c r="BI20" i="4"/>
  <c r="AC20" i="4" s="1"/>
  <c r="BI23" i="4"/>
  <c r="AC23" i="4" s="1"/>
  <c r="BI32" i="4"/>
  <c r="AC32" i="4" s="1"/>
  <c r="BH33" i="4"/>
  <c r="AB33" i="4" s="1"/>
  <c r="I38" i="4"/>
  <c r="H39" i="4"/>
  <c r="BI40" i="4"/>
  <c r="AC40" i="4" s="1"/>
  <c r="BH41" i="4"/>
  <c r="AB41" i="4" s="1"/>
  <c r="BI43" i="4"/>
  <c r="AC43" i="4" s="1"/>
  <c r="H45" i="4"/>
  <c r="BI46" i="4"/>
  <c r="AC46" i="4" s="1"/>
  <c r="BH47" i="4"/>
  <c r="AB47" i="4" s="1"/>
  <c r="I52" i="4"/>
  <c r="H53" i="4"/>
  <c r="BI54" i="4"/>
  <c r="AC54" i="4" s="1"/>
  <c r="BH55" i="4"/>
  <c r="AB55" i="4" s="1"/>
  <c r="BI57" i="4"/>
  <c r="AC57" i="4" s="1"/>
  <c r="BH58" i="4"/>
  <c r="AB58" i="4" s="1"/>
  <c r="BH64" i="4"/>
  <c r="AB64" i="4" s="1"/>
  <c r="J68" i="4"/>
  <c r="L24" i="3" s="1"/>
  <c r="N24" i="3" s="1"/>
  <c r="AW73" i="4"/>
  <c r="AT74" i="4"/>
  <c r="AW76" i="4"/>
  <c r="AX79" i="4"/>
  <c r="I79" i="4"/>
  <c r="I74" i="4" s="1"/>
  <c r="K25" i="3" s="1"/>
  <c r="BI80" i="4"/>
  <c r="AC80" i="4" s="1"/>
  <c r="AW81" i="4"/>
  <c r="BH84" i="4"/>
  <c r="AB84" i="4" s="1"/>
  <c r="AW90" i="4"/>
  <c r="H90" i="4"/>
  <c r="BI33" i="4"/>
  <c r="AC33" i="4" s="1"/>
  <c r="BH34" i="4"/>
  <c r="AB34" i="4" s="1"/>
  <c r="BI41" i="4"/>
  <c r="AC41" i="4" s="1"/>
  <c r="BI47" i="4"/>
  <c r="AC47" i="4" s="1"/>
  <c r="BH48" i="4"/>
  <c r="AB48" i="4" s="1"/>
  <c r="BI55" i="4"/>
  <c r="AC55" i="4" s="1"/>
  <c r="BI58" i="4"/>
  <c r="AC58" i="4" s="1"/>
  <c r="BH59" i="4"/>
  <c r="AB59" i="4" s="1"/>
  <c r="BH62" i="4"/>
  <c r="AB62" i="4" s="1"/>
  <c r="BI64" i="4"/>
  <c r="AC64" i="4" s="1"/>
  <c r="BH65" i="4"/>
  <c r="AB65" i="4" s="1"/>
  <c r="AX73" i="4"/>
  <c r="AX76" i="4"/>
  <c r="AW80" i="4"/>
  <c r="H80" i="4"/>
  <c r="H74" i="4" s="1"/>
  <c r="J25" i="3" s="1"/>
  <c r="AU83" i="4"/>
  <c r="BC93" i="4"/>
  <c r="AV93" i="4"/>
  <c r="BC101" i="4"/>
  <c r="BC113" i="4"/>
  <c r="AX89" i="4"/>
  <c r="I89" i="4"/>
  <c r="AX80" i="4"/>
  <c r="AX86" i="4"/>
  <c r="I86" i="4"/>
  <c r="AW87" i="4"/>
  <c r="H87" i="4"/>
  <c r="H83" i="4" s="1"/>
  <c r="J26" i="3" s="1"/>
  <c r="AW72" i="4"/>
  <c r="AW75" i="4"/>
  <c r="AX82" i="4"/>
  <c r="AV82" i="4" s="1"/>
  <c r="AX85" i="4"/>
  <c r="AV85" i="4" s="1"/>
  <c r="AW86" i="4"/>
  <c r="AW89" i="4"/>
  <c r="AX96" i="4"/>
  <c r="AV96" i="4" s="1"/>
  <c r="AX99" i="4"/>
  <c r="AV99" i="4" s="1"/>
  <c r="AX102" i="4"/>
  <c r="AV102" i="4" s="1"/>
  <c r="AX105" i="4"/>
  <c r="I106" i="4"/>
  <c r="AW106" i="4"/>
  <c r="H107" i="4"/>
  <c r="I109" i="4"/>
  <c r="AW109" i="4"/>
  <c r="H110" i="4"/>
  <c r="H108" i="4" s="1"/>
  <c r="J31" i="3" s="1"/>
  <c r="I112" i="4"/>
  <c r="BH113" i="4"/>
  <c r="I115" i="4"/>
  <c r="BH116" i="4"/>
  <c r="AD116" i="4" s="1"/>
  <c r="H127" i="4"/>
  <c r="BH129" i="4"/>
  <c r="AD129" i="4" s="1"/>
  <c r="AW131" i="4"/>
  <c r="H131" i="4"/>
  <c r="AV133" i="4"/>
  <c r="AW134" i="4"/>
  <c r="H134" i="4"/>
  <c r="H138" i="4"/>
  <c r="BH140" i="4"/>
  <c r="AD140" i="4" s="1"/>
  <c r="AW142" i="4"/>
  <c r="H142" i="4"/>
  <c r="BI150" i="4"/>
  <c r="AE150" i="4" s="1"/>
  <c r="I153" i="4"/>
  <c r="BC168" i="4"/>
  <c r="AV174" i="4"/>
  <c r="BC176" i="4"/>
  <c r="AV176" i="4"/>
  <c r="BC189" i="4"/>
  <c r="AV189" i="4"/>
  <c r="I87" i="4"/>
  <c r="I90" i="4"/>
  <c r="H91" i="4"/>
  <c r="BI92" i="4"/>
  <c r="AC92" i="4" s="1"/>
  <c r="J103" i="4"/>
  <c r="L30" i="3" s="1"/>
  <c r="N30" i="3" s="1"/>
  <c r="AX106" i="4"/>
  <c r="I107" i="4"/>
  <c r="I103" i="4" s="1"/>
  <c r="K30" i="3" s="1"/>
  <c r="AW107" i="4"/>
  <c r="AX109" i="4"/>
  <c r="I110" i="4"/>
  <c r="AW110" i="4"/>
  <c r="H111" i="4"/>
  <c r="AW111" i="4"/>
  <c r="BI113" i="4"/>
  <c r="BI116" i="4"/>
  <c r="AE116" i="4" s="1"/>
  <c r="I119" i="4"/>
  <c r="BH123" i="4"/>
  <c r="AD123" i="4" s="1"/>
  <c r="BH125" i="4"/>
  <c r="AD125" i="4" s="1"/>
  <c r="BH127" i="4"/>
  <c r="AD127" i="4" s="1"/>
  <c r="BC128" i="4"/>
  <c r="AV128" i="4"/>
  <c r="BH138" i="4"/>
  <c r="AD138" i="4" s="1"/>
  <c r="BC139" i="4"/>
  <c r="AV139" i="4"/>
  <c r="AV151" i="4"/>
  <c r="BC164" i="4"/>
  <c r="AV164" i="4"/>
  <c r="AX170" i="4"/>
  <c r="I170" i="4"/>
  <c r="AV92" i="4"/>
  <c r="BI93" i="4"/>
  <c r="AC93" i="4" s="1"/>
  <c r="BH94" i="4"/>
  <c r="AB94" i="4" s="1"/>
  <c r="AX107" i="4"/>
  <c r="AX110" i="4"/>
  <c r="AV117" i="4"/>
  <c r="H118" i="4"/>
  <c r="AV121" i="4"/>
  <c r="I122" i="4"/>
  <c r="H151" i="4"/>
  <c r="AU186" i="4"/>
  <c r="BI94" i="4"/>
  <c r="AC94" i="4" s="1"/>
  <c r="BH95" i="4"/>
  <c r="AB95" i="4" s="1"/>
  <c r="BH98" i="4"/>
  <c r="AB98" i="4" s="1"/>
  <c r="BH101" i="4"/>
  <c r="AB101" i="4" s="1"/>
  <c r="BH104" i="4"/>
  <c r="AD104" i="4" s="1"/>
  <c r="BC125" i="4"/>
  <c r="BC127" i="4"/>
  <c r="AV162" i="4"/>
  <c r="AW171" i="4"/>
  <c r="H171" i="4"/>
  <c r="BC192" i="4"/>
  <c r="AV192" i="4"/>
  <c r="BC193" i="4"/>
  <c r="AV193" i="4"/>
  <c r="BC194" i="4"/>
  <c r="AV194" i="4"/>
  <c r="I93" i="4"/>
  <c r="H94" i="4"/>
  <c r="AX113" i="4"/>
  <c r="AV113" i="4" s="1"/>
  <c r="J114" i="4"/>
  <c r="L32" i="3" s="1"/>
  <c r="N32" i="3" s="1"/>
  <c r="AX116" i="4"/>
  <c r="AV116" i="4" s="1"/>
  <c r="BC117" i="4"/>
  <c r="I126" i="4"/>
  <c r="AV129" i="4"/>
  <c r="AT132" i="4"/>
  <c r="AV135" i="4"/>
  <c r="BC136" i="4"/>
  <c r="I137" i="4"/>
  <c r="AV140" i="4"/>
  <c r="AV143" i="4"/>
  <c r="AV144" i="4"/>
  <c r="BC144" i="4"/>
  <c r="AV147" i="4"/>
  <c r="AS152" i="4"/>
  <c r="AU178" i="4"/>
  <c r="BC191" i="4"/>
  <c r="I94" i="4"/>
  <c r="H95" i="4"/>
  <c r="H98" i="4"/>
  <c r="H97" i="4" s="1"/>
  <c r="J28" i="3" s="1"/>
  <c r="H101" i="4"/>
  <c r="H100" i="4" s="1"/>
  <c r="J29" i="3" s="1"/>
  <c r="H104" i="4"/>
  <c r="H113" i="4"/>
  <c r="H116" i="4"/>
  <c r="H114" i="4" s="1"/>
  <c r="J32" i="3" s="1"/>
  <c r="BI119" i="4"/>
  <c r="BI122" i="4"/>
  <c r="AE122" i="4" s="1"/>
  <c r="AV125" i="4"/>
  <c r="AV138" i="4"/>
  <c r="BC150" i="4"/>
  <c r="AV150" i="4"/>
  <c r="BH151" i="4"/>
  <c r="AX156" i="4"/>
  <c r="I156" i="4"/>
  <c r="AW157" i="4"/>
  <c r="H157" i="4"/>
  <c r="I162" i="4"/>
  <c r="BC167" i="4"/>
  <c r="BI170" i="4"/>
  <c r="AE170" i="4" s="1"/>
  <c r="BC179" i="4"/>
  <c r="AV179" i="4"/>
  <c r="BC185" i="4"/>
  <c r="AV185" i="4"/>
  <c r="J132" i="4"/>
  <c r="L34" i="3" s="1"/>
  <c r="N34" i="3" s="1"/>
  <c r="AL134" i="4"/>
  <c r="AU132" i="4" s="1"/>
  <c r="BC172" i="4"/>
  <c r="AV172" i="4"/>
  <c r="BC188" i="4"/>
  <c r="AV188" i="4"/>
  <c r="BC208" i="4"/>
  <c r="AV208" i="4"/>
  <c r="AU120" i="4"/>
  <c r="H125" i="4"/>
  <c r="AX130" i="4"/>
  <c r="BC130" i="4" s="1"/>
  <c r="I130" i="4"/>
  <c r="AX133" i="4"/>
  <c r="BC133" i="4" s="1"/>
  <c r="I133" i="4"/>
  <c r="AX141" i="4"/>
  <c r="BC141" i="4" s="1"/>
  <c r="I141" i="4"/>
  <c r="BI147" i="4"/>
  <c r="AE147" i="4" s="1"/>
  <c r="BC165" i="4"/>
  <c r="AV165" i="4"/>
  <c r="BC187" i="4"/>
  <c r="BH174" i="4"/>
  <c r="AD174" i="4" s="1"/>
  <c r="BI184" i="4"/>
  <c r="AE184" i="4" s="1"/>
  <c r="BH185" i="4"/>
  <c r="BI187" i="4"/>
  <c r="AE187" i="4" s="1"/>
  <c r="BH188" i="4"/>
  <c r="AD188" i="4" s="1"/>
  <c r="BI191" i="4"/>
  <c r="AE191" i="4" s="1"/>
  <c r="BH192" i="4"/>
  <c r="AD192" i="4" s="1"/>
  <c r="BH193" i="4"/>
  <c r="AD193" i="4" s="1"/>
  <c r="BH194" i="4"/>
  <c r="AD194" i="4" s="1"/>
  <c r="AW196" i="4"/>
  <c r="AV201" i="4"/>
  <c r="BC205" i="4"/>
  <c r="AX209" i="4"/>
  <c r="I209" i="4"/>
  <c r="AX214" i="4"/>
  <c r="BC214" i="4" s="1"/>
  <c r="I214" i="4"/>
  <c r="BI215" i="4"/>
  <c r="AE215" i="4" s="1"/>
  <c r="AW216" i="4"/>
  <c r="AW223" i="4"/>
  <c r="H223" i="4"/>
  <c r="BC230" i="4"/>
  <c r="AV230" i="4"/>
  <c r="AV242" i="4"/>
  <c r="I127" i="4"/>
  <c r="H128" i="4"/>
  <c r="I138" i="4"/>
  <c r="H139" i="4"/>
  <c r="AX145" i="4"/>
  <c r="BC145" i="4" s="1"/>
  <c r="I146" i="4"/>
  <c r="AW146" i="4"/>
  <c r="H147" i="4"/>
  <c r="H150" i="4"/>
  <c r="H149" i="4" s="1"/>
  <c r="J35" i="3" s="1"/>
  <c r="H153" i="4"/>
  <c r="AX160" i="4"/>
  <c r="AV160" i="4" s="1"/>
  <c r="I161" i="4"/>
  <c r="AW161" i="4"/>
  <c r="H162" i="4"/>
  <c r="AX168" i="4"/>
  <c r="AV168" i="4" s="1"/>
  <c r="I169" i="4"/>
  <c r="AW169" i="4"/>
  <c r="H170" i="4"/>
  <c r="AX182" i="4"/>
  <c r="AV182" i="4" s="1"/>
  <c r="I183" i="4"/>
  <c r="AW183" i="4"/>
  <c r="H184" i="4"/>
  <c r="AV184" i="4"/>
  <c r="BI185" i="4"/>
  <c r="H187" i="4"/>
  <c r="AV187" i="4"/>
  <c r="BI188" i="4"/>
  <c r="AE188" i="4" s="1"/>
  <c r="BH189" i="4"/>
  <c r="AD189" i="4" s="1"/>
  <c r="AV191" i="4"/>
  <c r="BI192" i="4"/>
  <c r="AE192" i="4" s="1"/>
  <c r="BI193" i="4"/>
  <c r="AE193" i="4" s="1"/>
  <c r="BI194" i="4"/>
  <c r="AE194" i="4" s="1"/>
  <c r="I196" i="4"/>
  <c r="AX196" i="4"/>
  <c r="AW200" i="4"/>
  <c r="H200" i="4"/>
  <c r="BH208" i="4"/>
  <c r="AD208" i="4" s="1"/>
  <c r="AX223" i="4"/>
  <c r="I223" i="4"/>
  <c r="AU234" i="4"/>
  <c r="AU239" i="4"/>
  <c r="BI164" i="4"/>
  <c r="AE164" i="4" s="1"/>
  <c r="BH165" i="4"/>
  <c r="AD165" i="4" s="1"/>
  <c r="BI172" i="4"/>
  <c r="AE172" i="4" s="1"/>
  <c r="H174" i="4"/>
  <c r="BI175" i="4"/>
  <c r="AE175" i="4" s="1"/>
  <c r="BH176" i="4"/>
  <c r="AD176" i="4" s="1"/>
  <c r="BH179" i="4"/>
  <c r="AD179" i="4" s="1"/>
  <c r="BC182" i="4"/>
  <c r="I184" i="4"/>
  <c r="H185" i="4"/>
  <c r="I187" i="4"/>
  <c r="H188" i="4"/>
  <c r="H192" i="4"/>
  <c r="AX198" i="4"/>
  <c r="I198" i="4"/>
  <c r="AW210" i="4"/>
  <c r="H210" i="4"/>
  <c r="AW215" i="4"/>
  <c r="H215" i="4"/>
  <c r="BC220" i="4"/>
  <c r="AV220" i="4"/>
  <c r="AV235" i="4"/>
  <c r="BC235" i="4"/>
  <c r="BI123" i="4"/>
  <c r="AE123" i="4" s="1"/>
  <c r="BH124" i="4"/>
  <c r="AD124" i="4" s="1"/>
  <c r="BI131" i="4"/>
  <c r="BI134" i="4"/>
  <c r="AE134" i="4" s="1"/>
  <c r="BH135" i="4"/>
  <c r="AD135" i="4" s="1"/>
  <c r="BI142" i="4"/>
  <c r="AE142" i="4" s="1"/>
  <c r="BH143" i="4"/>
  <c r="AD143" i="4" s="1"/>
  <c r="BI157" i="4"/>
  <c r="AE157" i="4" s="1"/>
  <c r="BH158" i="4"/>
  <c r="AD158" i="4" s="1"/>
  <c r="BI165" i="4"/>
  <c r="AE165" i="4" s="1"/>
  <c r="BH166" i="4"/>
  <c r="AD166" i="4" s="1"/>
  <c r="BI176" i="4"/>
  <c r="AE176" i="4" s="1"/>
  <c r="BH177" i="4"/>
  <c r="BI179" i="4"/>
  <c r="AE179" i="4" s="1"/>
  <c r="BH180" i="4"/>
  <c r="AD180" i="4" s="1"/>
  <c r="I191" i="4"/>
  <c r="BC204" i="4"/>
  <c r="AX210" i="4"/>
  <c r="I210" i="4"/>
  <c r="AX218" i="4"/>
  <c r="I218" i="4"/>
  <c r="AW224" i="4"/>
  <c r="H224" i="4"/>
  <c r="BI135" i="4"/>
  <c r="AE135" i="4" s="1"/>
  <c r="BH136" i="4"/>
  <c r="AD136" i="4" s="1"/>
  <c r="BI143" i="4"/>
  <c r="AE143" i="4" s="1"/>
  <c r="BH144" i="4"/>
  <c r="AD144" i="4" s="1"/>
  <c r="I164" i="4"/>
  <c r="H165" i="4"/>
  <c r="I172" i="4"/>
  <c r="I175" i="4"/>
  <c r="I173" i="4" s="1"/>
  <c r="K37" i="3" s="1"/>
  <c r="H176" i="4"/>
  <c r="H179" i="4"/>
  <c r="I190" i="4"/>
  <c r="I193" i="4"/>
  <c r="I194" i="4"/>
  <c r="BH196" i="4"/>
  <c r="AD196" i="4" s="1"/>
  <c r="AL203" i="4"/>
  <c r="AU202" i="4" s="1"/>
  <c r="BC212" i="4"/>
  <c r="AV212" i="4"/>
  <c r="AX215" i="4"/>
  <c r="BH216" i="4"/>
  <c r="AD216" i="4" s="1"/>
  <c r="AW219" i="4"/>
  <c r="H219" i="4"/>
  <c r="BH223" i="4"/>
  <c r="AD223" i="4" s="1"/>
  <c r="AW199" i="4"/>
  <c r="H199" i="4"/>
  <c r="AW203" i="4"/>
  <c r="H203" i="4"/>
  <c r="H208" i="4"/>
  <c r="BI209" i="4"/>
  <c r="AE209" i="4" s="1"/>
  <c r="BI214" i="4"/>
  <c r="AE214" i="4" s="1"/>
  <c r="BI223" i="4"/>
  <c r="AE223" i="4" s="1"/>
  <c r="AX199" i="4"/>
  <c r="I199" i="4"/>
  <c r="AV207" i="4"/>
  <c r="BC207" i="4"/>
  <c r="AW211" i="4"/>
  <c r="H211" i="4"/>
  <c r="AX222" i="4"/>
  <c r="I222" i="4"/>
  <c r="AV231" i="4"/>
  <c r="BC231" i="4"/>
  <c r="AV232" i="4"/>
  <c r="BC232" i="4"/>
  <c r="I260" i="4"/>
  <c r="K46" i="3" s="1"/>
  <c r="BH210" i="4"/>
  <c r="AD210" i="4" s="1"/>
  <c r="BH215" i="4"/>
  <c r="AD215" i="4" s="1"/>
  <c r="BI218" i="4"/>
  <c r="AE218" i="4" s="1"/>
  <c r="I217" i="4"/>
  <c r="H218" i="4"/>
  <c r="I225" i="4"/>
  <c r="H226" i="4"/>
  <c r="I233" i="4"/>
  <c r="I236" i="4"/>
  <c r="I234" i="4" s="1"/>
  <c r="K41" i="3" s="1"/>
  <c r="H237" i="4"/>
  <c r="H240" i="4"/>
  <c r="I246" i="4"/>
  <c r="I244" i="4" s="1"/>
  <c r="K43" i="3" s="1"/>
  <c r="BC246" i="4"/>
  <c r="AW255" i="4"/>
  <c r="J260" i="4"/>
  <c r="L46" i="3" s="1"/>
  <c r="N46" i="3" s="1"/>
  <c r="BH264" i="4"/>
  <c r="AD264" i="4" s="1"/>
  <c r="AX265" i="4"/>
  <c r="BC265" i="4" s="1"/>
  <c r="AL274" i="4"/>
  <c r="AU273" i="4" s="1"/>
  <c r="J273" i="4"/>
  <c r="L49" i="3" s="1"/>
  <c r="N49" i="3" s="1"/>
  <c r="AL277" i="4"/>
  <c r="AU275" i="4" s="1"/>
  <c r="J275" i="4"/>
  <c r="L50" i="3" s="1"/>
  <c r="N50" i="3" s="1"/>
  <c r="BC283" i="4"/>
  <c r="BH302" i="4"/>
  <c r="AB302" i="4" s="1"/>
  <c r="H302" i="4"/>
  <c r="AW302" i="4"/>
  <c r="AX217" i="4"/>
  <c r="AW218" i="4"/>
  <c r="AX225" i="4"/>
  <c r="I226" i="4"/>
  <c r="AW226" i="4"/>
  <c r="H227" i="4"/>
  <c r="AX233" i="4"/>
  <c r="AX236" i="4"/>
  <c r="I237" i="4"/>
  <c r="AW237" i="4"/>
  <c r="H238" i="4"/>
  <c r="I240" i="4"/>
  <c r="I239" i="4" s="1"/>
  <c r="K42" i="3" s="1"/>
  <c r="AW240" i="4"/>
  <c r="H241" i="4"/>
  <c r="H242" i="4"/>
  <c r="AX242" i="4"/>
  <c r="AV245" i="4"/>
  <c r="BH247" i="4"/>
  <c r="AD247" i="4" s="1"/>
  <c r="AX248" i="4"/>
  <c r="BC248" i="4" s="1"/>
  <c r="BC253" i="4"/>
  <c r="I255" i="4"/>
  <c r="I250" i="4" s="1"/>
  <c r="K44" i="3" s="1"/>
  <c r="BH256" i="4"/>
  <c r="BH258" i="4"/>
  <c r="AD258" i="4" s="1"/>
  <c r="AW261" i="4"/>
  <c r="I263" i="4"/>
  <c r="H269" i="4"/>
  <c r="J48" i="3" s="1"/>
  <c r="AV276" i="4"/>
  <c r="BH278" i="4"/>
  <c r="AB278" i="4" s="1"/>
  <c r="BC284" i="4"/>
  <c r="BC289" i="4"/>
  <c r="AW293" i="4"/>
  <c r="H293" i="4"/>
  <c r="BH293" i="4"/>
  <c r="AB293" i="4" s="1"/>
  <c r="AV301" i="4"/>
  <c r="BI205" i="4"/>
  <c r="AE205" i="4" s="1"/>
  <c r="BH206" i="4"/>
  <c r="AD206" i="4" s="1"/>
  <c r="BI213" i="4"/>
  <c r="AE213" i="4" s="1"/>
  <c r="BH214" i="4"/>
  <c r="AD214" i="4" s="1"/>
  <c r="BI221" i="4"/>
  <c r="AE221" i="4" s="1"/>
  <c r="BH222" i="4"/>
  <c r="AD222" i="4" s="1"/>
  <c r="AX226" i="4"/>
  <c r="AW227" i="4"/>
  <c r="AV228" i="4"/>
  <c r="BI229" i="4"/>
  <c r="AE229" i="4" s="1"/>
  <c r="BH230" i="4"/>
  <c r="AD230" i="4" s="1"/>
  <c r="J234" i="4"/>
  <c r="L41" i="3" s="1"/>
  <c r="N41" i="3" s="1"/>
  <c r="AX237" i="4"/>
  <c r="AW238" i="4"/>
  <c r="AX240" i="4"/>
  <c r="AW241" i="4"/>
  <c r="BH243" i="4"/>
  <c r="H245" i="4"/>
  <c r="H244" i="4" s="1"/>
  <c r="J43" i="3" s="1"/>
  <c r="BH249" i="4"/>
  <c r="AT250" i="4"/>
  <c r="AW252" i="4"/>
  <c r="BI258" i="4"/>
  <c r="AE258" i="4" s="1"/>
  <c r="BI263" i="4"/>
  <c r="AE263" i="4" s="1"/>
  <c r="AV271" i="4"/>
  <c r="BH272" i="4"/>
  <c r="BC290" i="4"/>
  <c r="AV290" i="4"/>
  <c r="BI230" i="4"/>
  <c r="AE230" i="4" s="1"/>
  <c r="BH231" i="4"/>
  <c r="AD231" i="4" s="1"/>
  <c r="BC254" i="4"/>
  <c r="H257" i="4"/>
  <c r="J45" i="3" s="1"/>
  <c r="BI231" i="4"/>
  <c r="AE231" i="4" s="1"/>
  <c r="BH232" i="4"/>
  <c r="AD232" i="4" s="1"/>
  <c r="BH235" i="4"/>
  <c r="AD235" i="4" s="1"/>
  <c r="J239" i="4"/>
  <c r="L42" i="3" s="1"/>
  <c r="N42" i="3" s="1"/>
  <c r="AL268" i="4"/>
  <c r="AU266" i="4" s="1"/>
  <c r="J266" i="4"/>
  <c r="L47" i="3" s="1"/>
  <c r="N47" i="3" s="1"/>
  <c r="BC291" i="4"/>
  <c r="AV291" i="4"/>
  <c r="I230" i="4"/>
  <c r="H231" i="4"/>
  <c r="BI242" i="4"/>
  <c r="AE242" i="4" s="1"/>
  <c r="BH245" i="4"/>
  <c r="AD245" i="4" s="1"/>
  <c r="BI248" i="4"/>
  <c r="AE248" i="4" s="1"/>
  <c r="AW249" i="4"/>
  <c r="BI255" i="4"/>
  <c r="AE255" i="4" s="1"/>
  <c r="AW258" i="4"/>
  <c r="BH261" i="4"/>
  <c r="AD261" i="4" s="1"/>
  <c r="BI268" i="4"/>
  <c r="AW278" i="4"/>
  <c r="H280" i="4"/>
  <c r="J51" i="3" s="1"/>
  <c r="AS295" i="4"/>
  <c r="I231" i="4"/>
  <c r="H232" i="4"/>
  <c r="H235" i="4"/>
  <c r="BC242" i="4"/>
  <c r="AW243" i="4"/>
  <c r="J244" i="4"/>
  <c r="L43" i="3" s="1"/>
  <c r="N43" i="3" s="1"/>
  <c r="I258" i="4"/>
  <c r="I257" i="4" s="1"/>
  <c r="K45" i="3" s="1"/>
  <c r="AL271" i="4"/>
  <c r="AU269" i="4" s="1"/>
  <c r="J269" i="4"/>
  <c r="L48" i="3" s="1"/>
  <c r="N48" i="3" s="1"/>
  <c r="AW272" i="4"/>
  <c r="AV294" i="4"/>
  <c r="BC294" i="4"/>
  <c r="AV263" i="4"/>
  <c r="BC263" i="4"/>
  <c r="AV265" i="4"/>
  <c r="BC281" i="4"/>
  <c r="AV281" i="4"/>
  <c r="AV288" i="4"/>
  <c r="H289" i="4"/>
  <c r="BI301" i="4"/>
  <c r="AC301" i="4" s="1"/>
  <c r="BH303" i="4"/>
  <c r="AB303" i="4" s="1"/>
  <c r="AX304" i="4"/>
  <c r="I304" i="4"/>
  <c r="BI310" i="4"/>
  <c r="AC310" i="4" s="1"/>
  <c r="AV311" i="4"/>
  <c r="AV317" i="4"/>
  <c r="BC317" i="4"/>
  <c r="AW329" i="4"/>
  <c r="H329" i="4"/>
  <c r="BC338" i="4"/>
  <c r="AV338" i="4"/>
  <c r="AX346" i="4"/>
  <c r="I346" i="4"/>
  <c r="I344" i="4" s="1"/>
  <c r="AX352" i="4"/>
  <c r="I352" i="4"/>
  <c r="BI283" i="4"/>
  <c r="AC283" i="4" s="1"/>
  <c r="BH284" i="4"/>
  <c r="AB284" i="4" s="1"/>
  <c r="BI286" i="4"/>
  <c r="AC286" i="4" s="1"/>
  <c r="AW321" i="4"/>
  <c r="H321" i="4"/>
  <c r="AX348" i="4"/>
  <c r="I348" i="4"/>
  <c r="I347" i="4" s="1"/>
  <c r="K57" i="3" s="1"/>
  <c r="BI261" i="4"/>
  <c r="AE261" i="4" s="1"/>
  <c r="BH262" i="4"/>
  <c r="AD262" i="4" s="1"/>
  <c r="AV283" i="4"/>
  <c r="BI284" i="4"/>
  <c r="AC284" i="4" s="1"/>
  <c r="AV286" i="4"/>
  <c r="BI291" i="4"/>
  <c r="AC291" i="4" s="1"/>
  <c r="AX292" i="4"/>
  <c r="BC292" i="4" s="1"/>
  <c r="I292" i="4"/>
  <c r="H311" i="4"/>
  <c r="AW312" i="4"/>
  <c r="H312" i="4"/>
  <c r="AV315" i="4"/>
  <c r="BC324" i="4"/>
  <c r="AX335" i="4"/>
  <c r="I335" i="4"/>
  <c r="AX350" i="4"/>
  <c r="I350" i="4"/>
  <c r="I349" i="4" s="1"/>
  <c r="K58" i="3" s="1"/>
  <c r="BI256" i="4"/>
  <c r="BI259" i="4"/>
  <c r="AE259" i="4" s="1"/>
  <c r="BI262" i="4"/>
  <c r="AE262" i="4" s="1"/>
  <c r="BH263" i="4"/>
  <c r="AD263" i="4" s="1"/>
  <c r="I283" i="4"/>
  <c r="I280" i="4" s="1"/>
  <c r="K51" i="3" s="1"/>
  <c r="H284" i="4"/>
  <c r="I286" i="4"/>
  <c r="H287" i="4"/>
  <c r="BI290" i="4"/>
  <c r="AC290" i="4" s="1"/>
  <c r="BH294" i="4"/>
  <c r="AV299" i="4"/>
  <c r="BC303" i="4"/>
  <c r="AW305" i="4"/>
  <c r="H305" i="4"/>
  <c r="BH311" i="4"/>
  <c r="AB311" i="4" s="1"/>
  <c r="AX312" i="4"/>
  <c r="I312" i="4"/>
  <c r="BC330" i="4"/>
  <c r="AV330" i="4"/>
  <c r="AW336" i="4"/>
  <c r="H336" i="4"/>
  <c r="AW353" i="4"/>
  <c r="H353" i="4"/>
  <c r="H351" i="4" s="1"/>
  <c r="J59" i="3" s="1"/>
  <c r="BH267" i="4"/>
  <c r="AD267" i="4" s="1"/>
  <c r="BH270" i="4"/>
  <c r="AD270" i="4" s="1"/>
  <c r="BH276" i="4"/>
  <c r="AB276" i="4" s="1"/>
  <c r="AW287" i="4"/>
  <c r="BI289" i="4"/>
  <c r="AC289" i="4" s="1"/>
  <c r="H292" i="4"/>
  <c r="AX303" i="4"/>
  <c r="I303" i="4"/>
  <c r="AW310" i="4"/>
  <c r="AX319" i="4"/>
  <c r="I319" i="4"/>
  <c r="AX336" i="4"/>
  <c r="I336" i="4"/>
  <c r="AV345" i="4"/>
  <c r="BC345" i="4"/>
  <c r="BI247" i="4"/>
  <c r="AE247" i="4" s="1"/>
  <c r="BH248" i="4"/>
  <c r="AD248" i="4" s="1"/>
  <c r="BH251" i="4"/>
  <c r="AD251" i="4" s="1"/>
  <c r="BI293" i="4"/>
  <c r="AC293" i="4" s="1"/>
  <c r="BC299" i="4"/>
  <c r="AX301" i="4"/>
  <c r="BC301" i="4" s="1"/>
  <c r="BI302" i="4"/>
  <c r="AC302" i="4" s="1"/>
  <c r="AV303" i="4"/>
  <c r="BC306" i="4"/>
  <c r="H310" i="4"/>
  <c r="AV316" i="4"/>
  <c r="BI348" i="4"/>
  <c r="AW313" i="4"/>
  <c r="H313" i="4"/>
  <c r="AW320" i="4"/>
  <c r="H320" i="4"/>
  <c r="AX327" i="4"/>
  <c r="I327" i="4"/>
  <c r="AW328" i="4"/>
  <c r="H328" i="4"/>
  <c r="AV333" i="4"/>
  <c r="BC333" i="4"/>
  <c r="AW337" i="4"/>
  <c r="H337" i="4"/>
  <c r="I290" i="4"/>
  <c r="BH292" i="4"/>
  <c r="AB292" i="4" s="1"/>
  <c r="AW296" i="4"/>
  <c r="H296" i="4"/>
  <c r="H303" i="4"/>
  <c r="AW304" i="4"/>
  <c r="H304" i="4"/>
  <c r="AV307" i="4"/>
  <c r="BC309" i="4"/>
  <c r="AX311" i="4"/>
  <c r="BC311" i="4" s="1"/>
  <c r="I311" i="4"/>
  <c r="BI312" i="4"/>
  <c r="AC312" i="4" s="1"/>
  <c r="AX320" i="4"/>
  <c r="I320" i="4"/>
  <c r="AX328" i="4"/>
  <c r="I328" i="4"/>
  <c r="BH336" i="4"/>
  <c r="AL345" i="4"/>
  <c r="AU344" i="4" s="1"/>
  <c r="J344" i="4"/>
  <c r="BH353" i="4"/>
  <c r="AX318" i="4"/>
  <c r="AW319" i="4"/>
  <c r="AX326" i="4"/>
  <c r="BC326" i="4" s="1"/>
  <c r="AW327" i="4"/>
  <c r="BI329" i="4"/>
  <c r="AC329" i="4" s="1"/>
  <c r="BH330" i="4"/>
  <c r="AB330" i="4" s="1"/>
  <c r="AX334" i="4"/>
  <c r="AV334" i="4" s="1"/>
  <c r="AW335" i="4"/>
  <c r="BI337" i="4"/>
  <c r="BH338" i="4"/>
  <c r="AW346" i="4"/>
  <c r="AW348" i="4"/>
  <c r="AW350" i="4"/>
  <c r="AW352" i="4"/>
  <c r="BI353" i="4"/>
  <c r="AL354" i="4"/>
  <c r="AU351" i="4" s="1"/>
  <c r="BI338" i="4"/>
  <c r="BH339" i="4"/>
  <c r="BH342" i="4"/>
  <c r="AF342" i="4" s="1"/>
  <c r="C18" i="1" s="1"/>
  <c r="AV322" i="4"/>
  <c r="I329" i="4"/>
  <c r="H330" i="4"/>
  <c r="I337" i="4"/>
  <c r="H338" i="4"/>
  <c r="I353" i="4"/>
  <c r="AV339" i="4" l="1"/>
  <c r="BC339" i="4"/>
  <c r="AV20" i="4"/>
  <c r="AV331" i="4"/>
  <c r="BC331" i="4"/>
  <c r="I120" i="4"/>
  <c r="K33" i="3" s="1"/>
  <c r="AV325" i="4"/>
  <c r="AV175" i="4"/>
  <c r="BC116" i="4"/>
  <c r="C15" i="1"/>
  <c r="BC67" i="4"/>
  <c r="I44" i="4"/>
  <c r="K20" i="3" s="1"/>
  <c r="AV137" i="4"/>
  <c r="BC137" i="4"/>
  <c r="AV195" i="4"/>
  <c r="BC96" i="4"/>
  <c r="BC70" i="4"/>
  <c r="AV25" i="4"/>
  <c r="BC314" i="4"/>
  <c r="BC112" i="4"/>
  <c r="AV112" i="4"/>
  <c r="AV274" i="4"/>
  <c r="BC334" i="4"/>
  <c r="AV251" i="4"/>
  <c r="BC259" i="4"/>
  <c r="BC213" i="4"/>
  <c r="AV153" i="4"/>
  <c r="AV170" i="4"/>
  <c r="AV105" i="4"/>
  <c r="BC264" i="4"/>
  <c r="AV190" i="4"/>
  <c r="I132" i="4"/>
  <c r="K34" i="3" s="1"/>
  <c r="BC318" i="4"/>
  <c r="AV308" i="4"/>
  <c r="AV256" i="4"/>
  <c r="AV91" i="4"/>
  <c r="H44" i="4"/>
  <c r="J20" i="3" s="1"/>
  <c r="C14" i="1"/>
  <c r="AV332" i="4"/>
  <c r="BC115" i="4"/>
  <c r="AV115" i="4"/>
  <c r="BC277" i="4"/>
  <c r="AV158" i="4"/>
  <c r="BC166" i="4"/>
  <c r="I83" i="4"/>
  <c r="K26" i="3" s="1"/>
  <c r="BC85" i="4"/>
  <c r="AV282" i="4"/>
  <c r="BC282" i="4"/>
  <c r="BC298" i="4"/>
  <c r="AV298" i="4"/>
  <c r="AV180" i="4"/>
  <c r="BC180" i="4"/>
  <c r="I295" i="4"/>
  <c r="K53" i="3" s="1"/>
  <c r="AV221" i="4"/>
  <c r="H88" i="4"/>
  <c r="J27" i="3" s="1"/>
  <c r="BC43" i="4"/>
  <c r="AV159" i="4"/>
  <c r="BC78" i="4"/>
  <c r="AV78" i="4"/>
  <c r="AV253" i="4"/>
  <c r="H132" i="4"/>
  <c r="J34" i="3" s="1"/>
  <c r="AV297" i="4"/>
  <c r="BC297" i="4"/>
  <c r="I178" i="4"/>
  <c r="K38" i="3" s="1"/>
  <c r="BC82" i="4"/>
  <c r="AV268" i="4"/>
  <c r="AV342" i="4"/>
  <c r="BC342" i="4"/>
  <c r="C17" i="1"/>
  <c r="C16" i="1"/>
  <c r="K56" i="3"/>
  <c r="AV318" i="4"/>
  <c r="BC110" i="4"/>
  <c r="AV110" i="4"/>
  <c r="BC142" i="4"/>
  <c r="AV142" i="4"/>
  <c r="BC131" i="4"/>
  <c r="AV131" i="4"/>
  <c r="BC79" i="4"/>
  <c r="AV79" i="4"/>
  <c r="BC31" i="4"/>
  <c r="AV31" i="4"/>
  <c r="AV16" i="4"/>
  <c r="BC16" i="4"/>
  <c r="BC335" i="4"/>
  <c r="AV335" i="4"/>
  <c r="H295" i="4"/>
  <c r="J53" i="3" s="1"/>
  <c r="H343" i="4"/>
  <c r="J55" i="3" s="1"/>
  <c r="AV292" i="4"/>
  <c r="BC272" i="4"/>
  <c r="AV272" i="4"/>
  <c r="H234" i="4"/>
  <c r="J41" i="3" s="1"/>
  <c r="BC241" i="4"/>
  <c r="AV241" i="4"/>
  <c r="BC227" i="4"/>
  <c r="AV227" i="4"/>
  <c r="AV326" i="4"/>
  <c r="AV255" i="4"/>
  <c r="BC255" i="4"/>
  <c r="AV222" i="4"/>
  <c r="BC222" i="4"/>
  <c r="BC146" i="4"/>
  <c r="AV146" i="4"/>
  <c r="H103" i="4"/>
  <c r="J30" i="3" s="1"/>
  <c r="AV141" i="4"/>
  <c r="AV130" i="4"/>
  <c r="AV109" i="4"/>
  <c r="BC109" i="4"/>
  <c r="I88" i="4"/>
  <c r="K27" i="3" s="1"/>
  <c r="BC99" i="4"/>
  <c r="AV76" i="4"/>
  <c r="BC76" i="4"/>
  <c r="AV77" i="4"/>
  <c r="BC77" i="4"/>
  <c r="AV226" i="4"/>
  <c r="BC226" i="4"/>
  <c r="BC198" i="4"/>
  <c r="AV198" i="4"/>
  <c r="AV296" i="4"/>
  <c r="BC296" i="4"/>
  <c r="BC321" i="4"/>
  <c r="AV321" i="4"/>
  <c r="AV258" i="4"/>
  <c r="BC258" i="4"/>
  <c r="AV225" i="4"/>
  <c r="BC225" i="4"/>
  <c r="AV248" i="4"/>
  <c r="H173" i="4"/>
  <c r="J37" i="3" s="1"/>
  <c r="BC183" i="4"/>
  <c r="AV183" i="4"/>
  <c r="I202" i="4"/>
  <c r="K40" i="3" s="1"/>
  <c r="I108" i="4"/>
  <c r="K31" i="3" s="1"/>
  <c r="AV89" i="4"/>
  <c r="BC89" i="4"/>
  <c r="BC71" i="4"/>
  <c r="J355" i="4"/>
  <c r="L13" i="3"/>
  <c r="N13" i="3" s="1"/>
  <c r="L60" i="3" s="1"/>
  <c r="J12" i="4"/>
  <c r="L12" i="3" s="1"/>
  <c r="P12" i="3" s="1"/>
  <c r="AV199" i="4"/>
  <c r="BC199" i="4"/>
  <c r="J343" i="4"/>
  <c r="L55" i="3" s="1"/>
  <c r="P55" i="3" s="1"/>
  <c r="L56" i="3"/>
  <c r="N56" i="3" s="1"/>
  <c r="AV313" i="4"/>
  <c r="BC313" i="4"/>
  <c r="BC353" i="4"/>
  <c r="AV353" i="4"/>
  <c r="H285" i="4"/>
  <c r="J52" i="3" s="1"/>
  <c r="BC312" i="4"/>
  <c r="AV312" i="4"/>
  <c r="BC238" i="4"/>
  <c r="AV238" i="4"/>
  <c r="BC237" i="4"/>
  <c r="AV237" i="4"/>
  <c r="AV218" i="4"/>
  <c r="BC218" i="4"/>
  <c r="AV211" i="4"/>
  <c r="BC211" i="4"/>
  <c r="AV219" i="4"/>
  <c r="BC219" i="4"/>
  <c r="I186" i="4"/>
  <c r="K39" i="3" s="1"/>
  <c r="BC161" i="4"/>
  <c r="AV161" i="4"/>
  <c r="BC209" i="4"/>
  <c r="AV209" i="4"/>
  <c r="BC107" i="4"/>
  <c r="AV107" i="4"/>
  <c r="BC86" i="4"/>
  <c r="AV86" i="4"/>
  <c r="AV80" i="4"/>
  <c r="BC80" i="4"/>
  <c r="AV90" i="4"/>
  <c r="BC90" i="4"/>
  <c r="AV73" i="4"/>
  <c r="BC73" i="4"/>
  <c r="BC69" i="4"/>
  <c r="AV69" i="4"/>
  <c r="BC59" i="4"/>
  <c r="C29" i="1"/>
  <c r="F29" i="1" s="1"/>
  <c r="BC336" i="4"/>
  <c r="AV336" i="4"/>
  <c r="I285" i="4"/>
  <c r="K52" i="3" s="1"/>
  <c r="BC217" i="4"/>
  <c r="AV217" i="4"/>
  <c r="AV215" i="4"/>
  <c r="BC215" i="4"/>
  <c r="AV200" i="4"/>
  <c r="BC200" i="4"/>
  <c r="AV223" i="4"/>
  <c r="BC223" i="4"/>
  <c r="BC157" i="4"/>
  <c r="AV157" i="4"/>
  <c r="AV214" i="4"/>
  <c r="BC171" i="4"/>
  <c r="AV171" i="4"/>
  <c r="I152" i="4"/>
  <c r="K36" i="3" s="1"/>
  <c r="AV106" i="4"/>
  <c r="BC106" i="4"/>
  <c r="AV87" i="4"/>
  <c r="BC87" i="4"/>
  <c r="BC105" i="4"/>
  <c r="BC66" i="4"/>
  <c r="AV66" i="4"/>
  <c r="BC62" i="4"/>
  <c r="I28" i="4"/>
  <c r="K18" i="3" s="1"/>
  <c r="BC240" i="4"/>
  <c r="AV240" i="4"/>
  <c r="AV224" i="4"/>
  <c r="BC224" i="4"/>
  <c r="BC352" i="4"/>
  <c r="AV352" i="4"/>
  <c r="BC328" i="4"/>
  <c r="AV328" i="4"/>
  <c r="BC350" i="4"/>
  <c r="AV350" i="4"/>
  <c r="BC252" i="4"/>
  <c r="AV252" i="4"/>
  <c r="BC348" i="4"/>
  <c r="AV348" i="4"/>
  <c r="BC327" i="4"/>
  <c r="AV327" i="4"/>
  <c r="AV287" i="4"/>
  <c r="BC287" i="4"/>
  <c r="AV305" i="4"/>
  <c r="BC305" i="4"/>
  <c r="BC329" i="4"/>
  <c r="AV329" i="4"/>
  <c r="AV249" i="4"/>
  <c r="BC249" i="4"/>
  <c r="AV293" i="4"/>
  <c r="BC293" i="4"/>
  <c r="AV261" i="4"/>
  <c r="BC261" i="4"/>
  <c r="AV236" i="4"/>
  <c r="BC236" i="4"/>
  <c r="BC302" i="4"/>
  <c r="AV302" i="4"/>
  <c r="H202" i="4"/>
  <c r="J40" i="3" s="1"/>
  <c r="H178" i="4"/>
  <c r="J38" i="3" s="1"/>
  <c r="AV216" i="4"/>
  <c r="BC216" i="4"/>
  <c r="BC134" i="4"/>
  <c r="AV134" i="4"/>
  <c r="I114" i="4"/>
  <c r="K32" i="3" s="1"/>
  <c r="AV81" i="4"/>
  <c r="BC81" i="4"/>
  <c r="BC51" i="4"/>
  <c r="AV51" i="4"/>
  <c r="AV38" i="4"/>
  <c r="BC38" i="4"/>
  <c r="AV15" i="4"/>
  <c r="I351" i="4"/>
  <c r="K59" i="3" s="1"/>
  <c r="AV233" i="4"/>
  <c r="BC233" i="4"/>
  <c r="H239" i="4"/>
  <c r="J42" i="3" s="1"/>
  <c r="AV203" i="4"/>
  <c r="BC203" i="4"/>
  <c r="AV210" i="4"/>
  <c r="BC210" i="4"/>
  <c r="H186" i="4"/>
  <c r="J39" i="3" s="1"/>
  <c r="H152" i="4"/>
  <c r="J36" i="3" s="1"/>
  <c r="BC156" i="4"/>
  <c r="AV156" i="4"/>
  <c r="BC111" i="4"/>
  <c r="AV111" i="4"/>
  <c r="AV145" i="4"/>
  <c r="BC75" i="4"/>
  <c r="AV75" i="4"/>
  <c r="H28" i="4"/>
  <c r="J18" i="3" s="1"/>
  <c r="J13" i="3"/>
  <c r="BC320" i="4"/>
  <c r="AV320" i="4"/>
  <c r="BC346" i="4"/>
  <c r="AV346" i="4"/>
  <c r="BC319" i="4"/>
  <c r="AV319" i="4"/>
  <c r="BC304" i="4"/>
  <c r="AV304" i="4"/>
  <c r="BC337" i="4"/>
  <c r="AV337" i="4"/>
  <c r="BC310" i="4"/>
  <c r="AV310" i="4"/>
  <c r="AV243" i="4"/>
  <c r="BC243" i="4"/>
  <c r="BC278" i="4"/>
  <c r="AV278" i="4"/>
  <c r="BC169" i="4"/>
  <c r="AV169" i="4"/>
  <c r="AV196" i="4"/>
  <c r="BC196" i="4"/>
  <c r="BC72" i="4"/>
  <c r="AV72" i="4"/>
  <c r="BC60" i="4"/>
  <c r="AV60" i="4"/>
  <c r="BC22" i="4"/>
  <c r="AV22" i="4"/>
  <c r="K13" i="3"/>
  <c r="C22" i="1" l="1"/>
  <c r="I12" i="4"/>
  <c r="K12" i="3" s="1"/>
  <c r="I28" i="1"/>
  <c r="I29" i="1" s="1"/>
  <c r="H12" i="4"/>
  <c r="J12" i="3" s="1"/>
  <c r="I343" i="4"/>
  <c r="K55" i="3" s="1"/>
</calcChain>
</file>

<file path=xl/sharedStrings.xml><?xml version="1.0" encoding="utf-8"?>
<sst xmlns="http://schemas.openxmlformats.org/spreadsheetml/2006/main" count="10303" uniqueCount="2118">
  <si>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</si>
  <si>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</si>
  <si>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</si>
  <si>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</si>
  <si>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</si>
  <si>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</si>
  <si>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</si>
  <si>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68516029/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</si>
  <si>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</si>
  <si>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</si>
  <si>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</si>
  <si>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</si>
  <si>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</si>
  <si>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</si>
  <si>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</si>
  <si>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</si>
  <si>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</si>
  <si>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</si>
  <si>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</si>
  <si>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</si>
  <si>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</si>
  <si>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</si>
  <si>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</si>
  <si>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</si>
  <si>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</si>
  <si>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</si>
  <si>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</si>
  <si>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</si>
  <si>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</si>
  <si>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</si>
  <si>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</si>
  <si>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</si>
  <si>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</si>
  <si>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</si>
  <si>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</si>
  <si>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</si>
  <si>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</si>
  <si>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</si>
  <si>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</si>
  <si>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</si>
  <si>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</si>
  <si>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</si>
  <si>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</si>
  <si>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</si>
  <si>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</si>
  <si>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</si>
  <si>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</si>
  <si>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</si>
  <si>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</si>
  <si>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</si>
  <si>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</si>
  <si>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</si>
  <si>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</si>
  <si>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</si>
  <si>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</si>
  <si>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</si>
  <si>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</si>
  <si>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</si>
  <si>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 xml:space="preserve">Rozpočet je nezávazný a zpracovavaný dle zaslané PD pro povolení stavby 4/2024 - do jednotkových cen je nutno napočítat i spotřební materiály.
U zámečnických prací je naceněn klasický materiál, který se následně pozinkuje. Důvodem je velmi drahý nerez a případná nežádoucí reakce nerezu s úpravou pozinkováním, které se jeví jako málo opodstatněné (standardně se používá nerez nebo pozinkování).
VZT: specifikace neobsahuje stavební vápomoce, napojení na EI, ZTI, SDK zákryty. Výrobky uvedené v PD jsou považovány pouze za referenční a definují minimální požadovanou úrove%n automatizace/regulace a provozní technické parametry (viz TL v příloze). Pokud budou konkrétně uvedené výrobky nahrazeny jinými, musí nové výrobky splňovat minimálně alespoň tyto parametry a být v rozsahu výrobků referenčních.
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</si>
  <si>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</si>
  <si>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</si>
  <si>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</si>
  <si>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</si>
  <si>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</si>
  <si>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</si>
  <si>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</si>
  <si>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</si>
  <si>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</si>
  <si>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</si>
  <si>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</si>
  <si>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</si>
  <si>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</si>
  <si>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</si>
  <si>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</si>
  <si>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</si>
  <si>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</si>
  <si>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</si>
  <si>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</si>
  <si>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 - Jen podskupiny</t>
  </si>
  <si>
    <t>Doba výstavby:</t>
  </si>
  <si>
    <t>Zpracováno dne:</t>
  </si>
  <si>
    <t xml:space="preserve"> </t>
  </si>
  <si>
    <t>Náklady (Kč)</t>
  </si>
  <si>
    <t>Kód</t>
  </si>
  <si>
    <t>Zkrácený popis</t>
  </si>
  <si>
    <t>Dodávka</t>
  </si>
  <si>
    <t>Celkem</t>
  </si>
  <si>
    <t>Kanceláře, byt</t>
  </si>
  <si>
    <t>F</t>
  </si>
  <si>
    <t>KB</t>
  </si>
  <si>
    <t>13</t>
  </si>
  <si>
    <t>Hloubené vykopávky</t>
  </si>
  <si>
    <t>T</t>
  </si>
  <si>
    <t>16</t>
  </si>
  <si>
    <t>Přemístění výkopku</t>
  </si>
  <si>
    <t>17</t>
  </si>
  <si>
    <t>Konstrukce ze zemin</t>
  </si>
  <si>
    <t>19</t>
  </si>
  <si>
    <t>Hloubení pro podzemní stěny, ražení a hloubení důlní</t>
  </si>
  <si>
    <t>21</t>
  </si>
  <si>
    <t>Úprava podloží a základové spáry</t>
  </si>
  <si>
    <t>27</t>
  </si>
  <si>
    <t>Základy</t>
  </si>
  <si>
    <t>28</t>
  </si>
  <si>
    <t>Zpevňování hornin a konstrukcí</t>
  </si>
  <si>
    <t>31</t>
  </si>
  <si>
    <t>Zdi podpěrné a volné</t>
  </si>
  <si>
    <t>34</t>
  </si>
  <si>
    <t>Stěny a příčky</t>
  </si>
  <si>
    <t>41</t>
  </si>
  <si>
    <t>Stropy a stropní konstrukce (pro pozemní stavby)</t>
  </si>
  <si>
    <t>43</t>
  </si>
  <si>
    <t>Schodiště</t>
  </si>
  <si>
    <t>56</t>
  </si>
  <si>
    <t>Podkladní vrstvy komunikací, letišť a ploch</t>
  </si>
  <si>
    <t>59</t>
  </si>
  <si>
    <t>Kryty pozemních komunikací, letišť a ploch dlážděných (předlažby)</t>
  </si>
  <si>
    <t>61</t>
  </si>
  <si>
    <t>Úprava povrchů vnitřní</t>
  </si>
  <si>
    <t>62</t>
  </si>
  <si>
    <t>Úprava povrchů vnější</t>
  </si>
  <si>
    <t>63</t>
  </si>
  <si>
    <t>Podlahy a podlahové konstrukce</t>
  </si>
  <si>
    <t>64</t>
  </si>
  <si>
    <t>Výplně otvorů</t>
  </si>
  <si>
    <t>711</t>
  </si>
  <si>
    <t>Izolace proti vodě</t>
  </si>
  <si>
    <t>713</t>
  </si>
  <si>
    <t>Izolace tepelné</t>
  </si>
  <si>
    <t>721</t>
  </si>
  <si>
    <t>Kanalizace</t>
  </si>
  <si>
    <t>722</t>
  </si>
  <si>
    <t>Vnitřní vodovod</t>
  </si>
  <si>
    <t>725</t>
  </si>
  <si>
    <t>Zařizovací předměty</t>
  </si>
  <si>
    <t>726</t>
  </si>
  <si>
    <t>Instalační prefabrikáty</t>
  </si>
  <si>
    <t>728</t>
  </si>
  <si>
    <t>Vzduchotechnika</t>
  </si>
  <si>
    <t>73</t>
  </si>
  <si>
    <t>Ústřední vytápění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</si>
  <si>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</si>
  <si>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</si>
  <si>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</si>
  <si>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</si>
  <si>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</si>
  <si>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</si>
  <si>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</si>
  <si>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doplňkové stavební (zámečnické)</t>
  </si>
  <si>
    <t>771</t>
  </si>
  <si>
    <t>Podlahy z dlaždic</t>
  </si>
  <si>
    <t>776</t>
  </si>
  <si>
    <t>Podlahy povlakové</t>
  </si>
  <si>
    <t>781</t>
  </si>
  <si>
    <t>Obklady (keramické)</t>
  </si>
  <si>
    <t>783</t>
  </si>
  <si>
    <t>Nátěry</t>
  </si>
  <si>
    <t>784</t>
  </si>
  <si>
    <t>Malby</t>
  </si>
  <si>
    <t>786</t>
  </si>
  <si>
    <t>Čalounické úpravy</t>
  </si>
  <si>
    <t>787</t>
  </si>
  <si>
    <t>Zasklívání</t>
  </si>
  <si>
    <t>90</t>
  </si>
  <si>
    <t>Hodinové zúčtovací sazby (HZS)</t>
  </si>
  <si>
    <t>91</t>
  </si>
  <si>
    <t>Doplňující konstrukce a práce na pozemních komunikacích a zpevněných plochách</t>
  </si>
  <si>
    <t>94</t>
  </si>
  <si>
    <t>Lešení a stavební výtahy</t>
  </si>
  <si>
    <t>95</t>
  </si>
  <si>
    <t>Různé dokončovací konstrukce a práce na pozemních stavbách</t>
  </si>
  <si>
    <t>96</t>
  </si>
  <si>
    <t>Bourání konstrukcí</t>
  </si>
  <si>
    <t>M21</t>
  </si>
  <si>
    <t>Elektromontáže</t>
  </si>
  <si>
    <t>VORN</t>
  </si>
  <si>
    <t>01VRN</t>
  </si>
  <si>
    <t>03VRN</t>
  </si>
  <si>
    <t>04VRN</t>
  </si>
  <si>
    <t>07VRN</t>
  </si>
  <si>
    <t>Celkem:</t>
  </si>
  <si>
    <t>Rozpočet je nezávazný a zpracovavaný dle zaslané PD pro povolení stavby 4/2024 - do jednotkových cen je nutno napočítat i spotřební materiály.
U zámečnických prací je naceněn klasický materiál, který se následně pozinkuje. Důvodem je velmi drahý nerez a případná nežádoucí reakce nerezu s úpravou pozinkováním, které se jeví jako málo opodstatněné (standardně se používá nerez nebo pozinkování).
VZT: specifikace neobsahuje stavební vápomoce, napojení na EI, ZTI, SDK zákryty. Výrobky uvedené v PD jsou považovány pouze za referenční a definují minimální požadovanou úrove%n automatizace/regulace a provozní technické parametry (viz TL v příloze). Pokud budou konkrétně uvedené výrobky nahrazeny jinými, musí nové výrobky splňovat minimálně alespoň tyto parametry a být v rozsahu výrobků referenčních.</t>
  </si>
  <si>
    <t>Slepý stavební rozpočet</t>
  </si>
  <si>
    <t>Stavební úpravy objektu čp. 80 se změnou užívání</t>
  </si>
  <si>
    <t>Obec Cetoraz, Cetoraz 206, Cetoraz</t>
  </si>
  <si>
    <t>02.12.2024</t>
  </si>
  <si>
    <t>Ing. František Kovář, Dlouhá Lhota 6, Chýnov</t>
  </si>
  <si>
    <t>Cetoraz st.p.č. 89</t>
  </si>
  <si>
    <t> </t>
  </si>
  <si>
    <t>Alen Kadlecová</t>
  </si>
  <si>
    <t>Č</t>
  </si>
  <si>
    <t>MJ</t>
  </si>
  <si>
    <t>Množství</t>
  </si>
  <si>
    <t>Cena/MJ</t>
  </si>
  <si>
    <t>Cenová</t>
  </si>
  <si>
    <t>ISWORK</t>
  </si>
  <si>
    <t>GROUPCODE</t>
  </si>
  <si>
    <t>VATTAX</t>
  </si>
  <si>
    <t>Rozměry</t>
  </si>
  <si>
    <t>(Kč)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</si>
  <si>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</si>
  <si>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</si>
  <si>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</si>
  <si>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</si>
  <si>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</si>
  <si>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</si>
  <si>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</si>
  <si>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</si>
  <si>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</si>
  <si>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</si>
  <si>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</si>
  <si>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</si>
  <si>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</si>
  <si>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</si>
  <si>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139711101RT3</t>
  </si>
  <si>
    <t>Vykopávka v uzavřených prostorách v hor.1-4</t>
  </si>
  <si>
    <t>m3</t>
  </si>
  <si>
    <t>RTS II / 2024</t>
  </si>
  <si>
    <t>13_</t>
  </si>
  <si>
    <t>KB_1_</t>
  </si>
  <si>
    <t>KB_</t>
  </si>
  <si>
    <t>2</t>
  </si>
  <si>
    <t>132201110R00</t>
  </si>
  <si>
    <t>Hloubení rýh š.do 60 cm v hor.3 do 50 m3, STROJNĚ</t>
  </si>
  <si>
    <t>3</t>
  </si>
  <si>
    <t>132201119R00</t>
  </si>
  <si>
    <t>Přípl.za lepivost,hloubení rýh 60 cm,hor.3,STROJNĚ</t>
  </si>
  <si>
    <t>4</t>
  </si>
  <si>
    <t>161101102R00</t>
  </si>
  <si>
    <t>Svislé přemístění výkopku z hor.1-4 do 4,0 m</t>
  </si>
  <si>
    <t>16_</t>
  </si>
  <si>
    <t>5</t>
  </si>
  <si>
    <t>162301101R00</t>
  </si>
  <si>
    <t>Vodorovné přemístění výkopku z hor.1-4 do 500 m</t>
  </si>
  <si>
    <t>6</t>
  </si>
  <si>
    <t>167101101R00</t>
  </si>
  <si>
    <t>Nakládání výkopku z hor. 1 ÷ 4 v množství do 100 m3</t>
  </si>
  <si>
    <t>7</t>
  </si>
  <si>
    <t>174101101R00</t>
  </si>
  <si>
    <t>Zásyp jam, rýh, šachet se zhutněním</t>
  </si>
  <si>
    <t>17_</t>
  </si>
  <si>
    <t>8</t>
  </si>
  <si>
    <t>175101101RT2</t>
  </si>
  <si>
    <t>Obsyp potrubí bez prohození sypaniny s dodáním štěrkopísku frakce 0 - 22 mm</t>
  </si>
  <si>
    <t>9</t>
  </si>
  <si>
    <t>199000002R00</t>
  </si>
  <si>
    <t>Poplatek za skládku horniny 1- 4, č. dle katal. odpadů 17 05 04</t>
  </si>
  <si>
    <t>19_</t>
  </si>
  <si>
    <t>10</t>
  </si>
  <si>
    <t>215901101R00</t>
  </si>
  <si>
    <t>Zhutnění podloží z hornin nesoudržných do 92% PS</t>
  </si>
  <si>
    <t>m2</t>
  </si>
  <si>
    <t>21_</t>
  </si>
  <si>
    <t>KB_2_</t>
  </si>
  <si>
    <t>11</t>
  </si>
  <si>
    <t>277324117R00</t>
  </si>
  <si>
    <t>Železobeton základových pilířů z betonu C20/25</t>
  </si>
  <si>
    <t>27_</t>
  </si>
  <si>
    <t>12</t>
  </si>
  <si>
    <t>277354111R00</t>
  </si>
  <si>
    <t>Bednění základových pilířů zřízení, bednicí materiál prkna</t>
  </si>
  <si>
    <t>277354211R00</t>
  </si>
  <si>
    <t>Bednění základových pilířů odstranění</t>
  </si>
  <si>
    <t>14</t>
  </si>
  <si>
    <t>277361214R00</t>
  </si>
  <si>
    <t>Výztuž základ. pilířů do 12 mm z oceli B500B (10505)</t>
  </si>
  <si>
    <t>t</t>
  </si>
  <si>
    <t>15</t>
  </si>
  <si>
    <t>274321321R00</t>
  </si>
  <si>
    <t>Železobeton základových pasů C 20/25</t>
  </si>
  <si>
    <t>274351215RT1</t>
  </si>
  <si>
    <t>Bednění stěn základových pasů - zřízení, bednicí materiál prkna</t>
  </si>
  <si>
    <t>274351216R00</t>
  </si>
  <si>
    <t>Bednění stěn základových pasů - odstranění</t>
  </si>
  <si>
    <t>18</t>
  </si>
  <si>
    <t>274361214R00</t>
  </si>
  <si>
    <t>Výztuž základových pasů do 12 mm z oceli B500B (10 505)</t>
  </si>
  <si>
    <t>274361314R00</t>
  </si>
  <si>
    <t>Výztuž základových pasů nad 12mm z oceli B500B (10 505)</t>
  </si>
  <si>
    <t>20</t>
  </si>
  <si>
    <t>275313621R00</t>
  </si>
  <si>
    <t>Beton základových patek prostý C 20/25</t>
  </si>
  <si>
    <t>275351215RT1</t>
  </si>
  <si>
    <t>Bednění stěn základových patek - zřízení, bednicí materiál prkna</t>
  </si>
  <si>
    <t>22</t>
  </si>
  <si>
    <t>275351216R00</t>
  </si>
  <si>
    <t>Bednění stěn základových patek - odstranění</t>
  </si>
  <si>
    <t>23</t>
  </si>
  <si>
    <t>271531113R00</t>
  </si>
  <si>
    <t>Polštář základu z kameniva hr. drceného 16-32 mm</t>
  </si>
  <si>
    <t>24</t>
  </si>
  <si>
    <t>289970111R00</t>
  </si>
  <si>
    <t>Vrstva geotextilie 300g/m2</t>
  </si>
  <si>
    <t>28_</t>
  </si>
  <si>
    <t>25</t>
  </si>
  <si>
    <t>317941121R00</t>
  </si>
  <si>
    <t>Osazení ocelových válcovaných nosníků do č. 12</t>
  </si>
  <si>
    <t>31_</t>
  </si>
  <si>
    <t>KB_3_</t>
  </si>
  <si>
    <t>26</t>
  </si>
  <si>
    <t>13383420</t>
  </si>
  <si>
    <t>Tyč ocelová IPE 120 - PB2</t>
  </si>
  <si>
    <t>13383315</t>
  </si>
  <si>
    <t>Tyč ocelová IPE 100 - PB4</t>
  </si>
  <si>
    <t>13383410</t>
  </si>
  <si>
    <t>Tyč ocelová IPE 80 - PB1, PB2</t>
  </si>
  <si>
    <t>29</t>
  </si>
  <si>
    <t>317168132R00</t>
  </si>
  <si>
    <t>Překlad vysoký 70 x 238 x 1500 mm pro orientované uložení - PB3</t>
  </si>
  <si>
    <t>kus</t>
  </si>
  <si>
    <t>30</t>
  </si>
  <si>
    <t>317998115R00</t>
  </si>
  <si>
    <t>Izolace mezi překlady z polystyrenu tl. 100 mm - PB3</t>
  </si>
  <si>
    <t>m</t>
  </si>
  <si>
    <t>311238143R00</t>
  </si>
  <si>
    <t>Zdivo z cihel P10, tl. 240 mm</t>
  </si>
  <si>
    <t>32</t>
  </si>
  <si>
    <t>311238144R00</t>
  </si>
  <si>
    <t>Zdivo z cihel P10, tl. 750 mm</t>
  </si>
  <si>
    <t>33</t>
  </si>
  <si>
    <t>311112130RT3</t>
  </si>
  <si>
    <t>Stěna z tvárnic ztraceného bednění, tl. 300 mm, zalití tvárnic betonem C 20/25</t>
  </si>
  <si>
    <t>311361821R00</t>
  </si>
  <si>
    <t>Výztuž nadzákladových zdí z betonářské oceli B500B (10 505)</t>
  </si>
  <si>
    <t>35</t>
  </si>
  <si>
    <t>318261125-1</t>
  </si>
  <si>
    <t>Stříška ze zákrytových desek s okapničkou šířky 400 mm, dl. 60 mm</t>
  </si>
  <si>
    <t>2024</t>
  </si>
  <si>
    <t>36</t>
  </si>
  <si>
    <t>342012221R00</t>
  </si>
  <si>
    <t>Příčka SDK tl.100 mm,ocel.kce,1x oplášť.,RB 12,5mm, izol.tl. 50 mm</t>
  </si>
  <si>
    <t>34_</t>
  </si>
  <si>
    <t>37</t>
  </si>
  <si>
    <t>342012223R00</t>
  </si>
  <si>
    <t>Příčka SDK tl.100mm,ocel.kce,1x oplášť.,RBI 12,5mm, izol.tl. 50 mm</t>
  </si>
  <si>
    <t>38</t>
  </si>
  <si>
    <t>3420153221</t>
  </si>
  <si>
    <t>Příčka SDK tl.170 mm,ocel.kce,2x oplášť.,RF 12,5mm, izol.tl. 50 mm</t>
  </si>
  <si>
    <t>39</t>
  </si>
  <si>
    <t>342248141R00</t>
  </si>
  <si>
    <t>Příčky tl. 115 mm</t>
  </si>
  <si>
    <t>40</t>
  </si>
  <si>
    <t>416026124R00</t>
  </si>
  <si>
    <t>Podhled SDK,ocel.dvouúrov.kříž.rošt, 1x RFI 12,5mm</t>
  </si>
  <si>
    <t>41_</t>
  </si>
  <si>
    <t>KB_4_</t>
  </si>
  <si>
    <t>430321414R00</t>
  </si>
  <si>
    <t>Beton schodišťových konstrukcí železový C 25/30</t>
  </si>
  <si>
    <t>43_</t>
  </si>
  <si>
    <t>42</t>
  </si>
  <si>
    <t>434351141R00</t>
  </si>
  <si>
    <t>Bednění stupňů přímočarých - zřízení</t>
  </si>
  <si>
    <t>434351142R00</t>
  </si>
  <si>
    <t>Bednění stupňů přímočarých - odstranění</t>
  </si>
  <si>
    <t>44</t>
  </si>
  <si>
    <t>430361921RT4</t>
  </si>
  <si>
    <t>Výztuž schodišťových konstrukcí svařovanou sítí KH 30, drát d 6,0 mm, oko 100 x 100 mm</t>
  </si>
  <si>
    <t>RTS I / 2024</t>
  </si>
  <si>
    <t>45</t>
  </si>
  <si>
    <t>564801112RT2</t>
  </si>
  <si>
    <t>Podklad ze štěrkodrti po zhutnění tloušťky 4 cm, štěrkodrť frakce 4-8 mm</t>
  </si>
  <si>
    <t>56_</t>
  </si>
  <si>
    <t>KB_5_</t>
  </si>
  <si>
    <t>46</t>
  </si>
  <si>
    <t>564811111RT2</t>
  </si>
  <si>
    <t>Podklad ze štěrkodrti po zhutnění tloušťky 5 cm, štěrkodrť frakce 8-16 mm</t>
  </si>
  <si>
    <t>47</t>
  </si>
  <si>
    <t>564841111RT4</t>
  </si>
  <si>
    <t>Podklad ze štěrkodrti po zhutnění tloušťky 12 cm, štěrkodrť frakce 0-63 mm</t>
  </si>
  <si>
    <t>48</t>
  </si>
  <si>
    <t>564871111RT4</t>
  </si>
  <si>
    <t>Podklad ze štěrkodrti po zhutnění tloušťky 25 cm, štěrkodrť frakce 0-63 mm</t>
  </si>
  <si>
    <t>49</t>
  </si>
  <si>
    <t>564231111R00</t>
  </si>
  <si>
    <t>Podklad ze štěrkopísku po zhutnění tloušťky 10 cm, frakce 0-8 mm</t>
  </si>
  <si>
    <t>50</t>
  </si>
  <si>
    <t>596215021R00</t>
  </si>
  <si>
    <t>Kladení zámkové dlažby tl. 6 cm do drtě tl. 4 cm</t>
  </si>
  <si>
    <t>59_</t>
  </si>
  <si>
    <t>51</t>
  </si>
  <si>
    <t>59245266</t>
  </si>
  <si>
    <t>Dlažba standard 200 x 100 x 80 mm</t>
  </si>
  <si>
    <t>52</t>
  </si>
  <si>
    <t>599432111R00</t>
  </si>
  <si>
    <t>Výplň spár dlažby kam.těženým</t>
  </si>
  <si>
    <t>53</t>
  </si>
  <si>
    <t>596291111R00</t>
  </si>
  <si>
    <t>Řezání zámkové dlažby tl. 60 mm</t>
  </si>
  <si>
    <t>54</t>
  </si>
  <si>
    <t>596921112R00</t>
  </si>
  <si>
    <t>Kladení betonových vegetačních tvárnic do lože z kameniva fr. 4-8 tl. 40 mm, plocha do 100 m2</t>
  </si>
  <si>
    <t>55</t>
  </si>
  <si>
    <t>5924812-1</t>
  </si>
  <si>
    <t>Dlažba vegetační o rozměru 40/60 tl. 100 mm</t>
  </si>
  <si>
    <t>599141111R00</t>
  </si>
  <si>
    <t>Vyplnění živičnou zálivkou</t>
  </si>
  <si>
    <t>57</t>
  </si>
  <si>
    <t>59900001-1</t>
  </si>
  <si>
    <t>Odstranění a doplnění asfaltové komunikace</t>
  </si>
  <si>
    <t>58</t>
  </si>
  <si>
    <t>611481211RT3</t>
  </si>
  <si>
    <t>Montáž výztužné sítě (perlinky) do stěrky-stropy, včetně výztužné sítě a stěrkového tmelu</t>
  </si>
  <si>
    <t>61_</t>
  </si>
  <si>
    <t>KB_6_</t>
  </si>
  <si>
    <t>611421110RT2</t>
  </si>
  <si>
    <t>Omítka vnitřní stropů rovných, MVC, hrubá, s použitím suché maltové směsi - tl. 25 mm</t>
  </si>
  <si>
    <t>60</t>
  </si>
  <si>
    <t>612409991RT2</t>
  </si>
  <si>
    <t>Začištění omítek kolem oken,dveří apod.</t>
  </si>
  <si>
    <t>612421637R00</t>
  </si>
  <si>
    <t>Omítka vnitřní zdiva, MVC, štuková</t>
  </si>
  <si>
    <t>622300154RT3</t>
  </si>
  <si>
    <t>Montáž zakládací sady ETICS</t>
  </si>
  <si>
    <t>62_</t>
  </si>
  <si>
    <t>622311523RU1</t>
  </si>
  <si>
    <t>Zateplovací systém ETICS, sokl, XPS tl. 120 mm, s mozaikovou omítkou 5,5 kg/m2</t>
  </si>
  <si>
    <t>622311835RU4</t>
  </si>
  <si>
    <t>Zateplovací systém ETICS, fasáda, miner.desky PV 160 mm, s omítkou silikonsilikátovou, lepidlo</t>
  </si>
  <si>
    <t>65</t>
  </si>
  <si>
    <t>622311153RU4</t>
  </si>
  <si>
    <t>Zateplovací systém ETICS, ostění, EPS F tl. 30 mm, s omítkou silikonsilikátovou, lepidlo</t>
  </si>
  <si>
    <t>66</t>
  </si>
  <si>
    <t>620991121R00</t>
  </si>
  <si>
    <t>Zakrývání výplní vnějších otvorů z lešení</t>
  </si>
  <si>
    <t>67</t>
  </si>
  <si>
    <t>622477123RT2</t>
  </si>
  <si>
    <t>Oprava vnější omítky hladké stěn,sl. I,do 30 %,SMS</t>
  </si>
  <si>
    <t>68</t>
  </si>
  <si>
    <t>622904112R00</t>
  </si>
  <si>
    <t>Očištění fasád tlakovou vodou složitost 1 - 2</t>
  </si>
  <si>
    <t>69</t>
  </si>
  <si>
    <t>620991002R00</t>
  </si>
  <si>
    <t>Začišťovací okenní lišta pro vnějš.omítku tl. 9 mm</t>
  </si>
  <si>
    <t>70</t>
  </si>
  <si>
    <t>631664112R00</t>
  </si>
  <si>
    <t>Oprava beton. podlah cement. hmotou tl. do 20 mm</t>
  </si>
  <si>
    <t>63_</t>
  </si>
  <si>
    <t>71</t>
  </si>
  <si>
    <t>632411108RT3</t>
  </si>
  <si>
    <t>Samonivelační stěrka, ruční zpracování tl. do 8 mm vč. materálu</t>
  </si>
  <si>
    <t>72</t>
  </si>
  <si>
    <t>648991113RT6</t>
  </si>
  <si>
    <t>Osazení parapet.desek plast. a lamin. š.nad 20cm, včetně dodávky plastové parapetní desky</t>
  </si>
  <si>
    <t>64_</t>
  </si>
  <si>
    <t>998011001R00</t>
  </si>
  <si>
    <t>Přesun hmot pro budovy zděné výšky do 6 m</t>
  </si>
  <si>
    <t>74</t>
  </si>
  <si>
    <t>711111001RZ1</t>
  </si>
  <si>
    <t>Provedení izolace proti vlhkosti na ploše vodorovné, 1x asfaltovým penetračním nátěrem včetně dodávky asfaltového penetračního laku</t>
  </si>
  <si>
    <t>711_</t>
  </si>
  <si>
    <t>KB_71_</t>
  </si>
  <si>
    <t>75</t>
  </si>
  <si>
    <t>711142559RY2</t>
  </si>
  <si>
    <t>Provedení izolace proti vlhkosti na ploše svislé, asfaltovými pásy přitavením, 1 vrstva - včetně dodávky materiálu</t>
  </si>
  <si>
    <t>76</t>
  </si>
  <si>
    <t>711171559RT2</t>
  </si>
  <si>
    <t>Provedení izolace proti vlhkosti na ploše vodorovné, nopovou fólií, volně včetně dodávky materiálu, ukončeno lištou</t>
  </si>
  <si>
    <t>77</t>
  </si>
  <si>
    <t>998711201R00</t>
  </si>
  <si>
    <t>Přesun hmot pro izolace proti vodě, výšky do 6 m</t>
  </si>
  <si>
    <t>78</t>
  </si>
  <si>
    <t>713111221RO6</t>
  </si>
  <si>
    <t>Montáž parozábrany, zavěšeného podhledu s přelepením spojů včetně folie AL 170</t>
  </si>
  <si>
    <t>713_</t>
  </si>
  <si>
    <t>79</t>
  </si>
  <si>
    <t>713111111RT1</t>
  </si>
  <si>
    <t>Montáž tepelné izolace stropů vrchem kladené, volně</t>
  </si>
  <si>
    <t>80</t>
  </si>
  <si>
    <t>631538-1</t>
  </si>
  <si>
    <t>Čedičová izolace tl. 100 mm</t>
  </si>
  <si>
    <t>81</t>
  </si>
  <si>
    <t>631538-2</t>
  </si>
  <si>
    <t>Čedičová izolace tl. 50 mm</t>
  </si>
  <si>
    <t>82</t>
  </si>
  <si>
    <t>998713201R00</t>
  </si>
  <si>
    <t>Přesun hmot pro izolace tepelné, výšky do 6 m</t>
  </si>
  <si>
    <t>83</t>
  </si>
  <si>
    <t>721176212R00</t>
  </si>
  <si>
    <t>Potrubí PVC odpadní svislé, D 110 x 3,2 mm</t>
  </si>
  <si>
    <t>721_</t>
  </si>
  <si>
    <t>KB_72_</t>
  </si>
  <si>
    <t>84</t>
  </si>
  <si>
    <t>28656150</t>
  </si>
  <si>
    <t>Koleno kanalizační odolné DN 110 mm 87°</t>
  </si>
  <si>
    <t>85</t>
  </si>
  <si>
    <t>721176222R00</t>
  </si>
  <si>
    <t>Potrubí PVC svodné (ležaté) v zemi, D 110 x 3,2 mm</t>
  </si>
  <si>
    <t>86</t>
  </si>
  <si>
    <t>721176105R00</t>
  </si>
  <si>
    <t>Potrubí PVC připojovací, D 110 x 2,7 mm</t>
  </si>
  <si>
    <t>87</t>
  </si>
  <si>
    <t>998721201R00</t>
  </si>
  <si>
    <t>Přesun hmot pro kanalizaci, výšky do 6 m</t>
  </si>
  <si>
    <t>88</t>
  </si>
  <si>
    <t>722172411R00</t>
  </si>
  <si>
    <t>Potrubí plastové včetně zednických výpomocí, D 20 x 2,8 mm, PN 16</t>
  </si>
  <si>
    <t>722_</t>
  </si>
  <si>
    <t>89</t>
  </si>
  <si>
    <t>722172412R00</t>
  </si>
  <si>
    <t>Potrubí plastové včetně zednických výpomocí, D 25 x 3,5 mm, PN 16</t>
  </si>
  <si>
    <t>72222411-1</t>
  </si>
  <si>
    <t>Kohout kulový vypouštěcí</t>
  </si>
  <si>
    <t>732489111R00</t>
  </si>
  <si>
    <t>Montáž vodoměrů</t>
  </si>
  <si>
    <t>soubor</t>
  </si>
  <si>
    <t>92</t>
  </si>
  <si>
    <t>55118007</t>
  </si>
  <si>
    <t>Souprava vodoměrná - bytová</t>
  </si>
  <si>
    <t>93</t>
  </si>
  <si>
    <t>722181212RT7</t>
  </si>
  <si>
    <t>Izolace návleková tl. stěny 9 mm, vnitřní průměr 20 mm</t>
  </si>
  <si>
    <t>722181212RT8</t>
  </si>
  <si>
    <t>Izolace návleková tl. stěny 9 mm, vnitřní průměr 22 mm</t>
  </si>
  <si>
    <t>722280106R00</t>
  </si>
  <si>
    <t>Tlaková zkouška vodovodního potrubí do DN 32 mm</t>
  </si>
  <si>
    <t>72553422-1</t>
  </si>
  <si>
    <t>Ohřívač elektrický, zásobníkový, 80 l, pojistný ventil, uzávěr DN 3/4"</t>
  </si>
  <si>
    <t>97</t>
  </si>
  <si>
    <t>72553422-2</t>
  </si>
  <si>
    <t>Ohřívač elektrický, zásobníkový, 120 l, pojistný ventil, uzávěr DN 3/4"</t>
  </si>
  <si>
    <t>98</t>
  </si>
  <si>
    <t>998722201R00</t>
  </si>
  <si>
    <t>Přesun hmot pro vnitřní vodovod, výšky do 6 m</t>
  </si>
  <si>
    <t>99</t>
  </si>
  <si>
    <t>725292001R00</t>
  </si>
  <si>
    <t>Zásobník na toaletní papír - K3</t>
  </si>
  <si>
    <t>725_</t>
  </si>
  <si>
    <t>100</t>
  </si>
  <si>
    <t>72501717-1</t>
  </si>
  <si>
    <t>Umyvadlo  600 x 400 mm, bílé - U2</t>
  </si>
  <si>
    <t>101</t>
  </si>
  <si>
    <t>72582920-1</t>
  </si>
  <si>
    <t>Montáž baterie umyvadlové včetně dodávky pákové baterie - U2</t>
  </si>
  <si>
    <t>102</t>
  </si>
  <si>
    <t>72529204-1</t>
  </si>
  <si>
    <t>Dávkovač tekutého mýdla - U2</t>
  </si>
  <si>
    <t>103</t>
  </si>
  <si>
    <t>725860253R00</t>
  </si>
  <si>
    <t>Sifon umyvadlový - U2</t>
  </si>
  <si>
    <t>104</t>
  </si>
  <si>
    <t>725249101R00</t>
  </si>
  <si>
    <t>Montáž sprchových boxů</t>
  </si>
  <si>
    <t>105</t>
  </si>
  <si>
    <t>5548421-1</t>
  </si>
  <si>
    <t>Sprchový kout 900 x 800 mm, bezpečnostní sklo, posuvné dveře, sprchová vanička, sifon, sprchová baterie - S1</t>
  </si>
  <si>
    <t>106</t>
  </si>
  <si>
    <t>725119306R00</t>
  </si>
  <si>
    <t>Montáž klozetu závěsného</t>
  </si>
  <si>
    <t>107</t>
  </si>
  <si>
    <t>64238938</t>
  </si>
  <si>
    <t>Klozet keramický závěsný, sedátko s poklopem - K3</t>
  </si>
  <si>
    <t>108</t>
  </si>
  <si>
    <t>725224138R00</t>
  </si>
  <si>
    <t>Vana ocelová se zápachovou uzávěrkou, dl. 1700 mm, bílá - V1</t>
  </si>
  <si>
    <t>109</t>
  </si>
  <si>
    <t>725860190RT1</t>
  </si>
  <si>
    <t>Sifon vanový - V1</t>
  </si>
  <si>
    <t>110</t>
  </si>
  <si>
    <t>725835113R00</t>
  </si>
  <si>
    <t>Baterie vanová nástěnná, včetně příslušenství - V1</t>
  </si>
  <si>
    <t>111</t>
  </si>
  <si>
    <t>725825114R00</t>
  </si>
  <si>
    <t>Baterie dřezová nástěnná jednopáková - D1</t>
  </si>
  <si>
    <t>112</t>
  </si>
  <si>
    <t>725319101R00</t>
  </si>
  <si>
    <t>Montáž dřezů jednoduchých</t>
  </si>
  <si>
    <t>113</t>
  </si>
  <si>
    <t>642812122</t>
  </si>
  <si>
    <t>Dřez nerezový - D1</t>
  </si>
  <si>
    <t>114</t>
  </si>
  <si>
    <t>998725201R00</t>
  </si>
  <si>
    <t>Přesun hmot pro zařizovací předměty, výšky do 6 m</t>
  </si>
  <si>
    <t>115</t>
  </si>
  <si>
    <t>726212331R00</t>
  </si>
  <si>
    <t>Modul pro závěsné WC - K3</t>
  </si>
  <si>
    <t>726_</t>
  </si>
  <si>
    <t>116</t>
  </si>
  <si>
    <t>998726221R00</t>
  </si>
  <si>
    <t>Přesun hmot pro předstěnové systémy, výšky do 6 m</t>
  </si>
  <si>
    <t>117</t>
  </si>
  <si>
    <t>2.1</t>
  </si>
  <si>
    <t>Kuchyňská digestoř s integrovaným ventilátorem a vlastní zpětnou klapkou 150-350 m3/h</t>
  </si>
  <si>
    <t>728_</t>
  </si>
  <si>
    <t>vč. osvětlení a ovládání (pokud není součástí kuchyně/interiéry)</t>
  </si>
  <si>
    <t>118</t>
  </si>
  <si>
    <t>2.2</t>
  </si>
  <si>
    <t>Kondenzační kroužek pr. 160 s odkapem pro napojení na ZTI</t>
  </si>
  <si>
    <t>119</t>
  </si>
  <si>
    <t>2.2a</t>
  </si>
  <si>
    <t>Napojení na kanalizaci přes sifonový uzávěr</t>
  </si>
  <si>
    <t>120</t>
  </si>
  <si>
    <t>2.3</t>
  </si>
  <si>
    <t>Výfuková protidešťová střešní tvarovka, pr. 160</t>
  </si>
  <si>
    <t>121</t>
  </si>
  <si>
    <t>2.3a</t>
  </si>
  <si>
    <t>Prostup střechou, utěsnění proti pronikání vody</t>
  </si>
  <si>
    <t>122</t>
  </si>
  <si>
    <t>2.4</t>
  </si>
  <si>
    <t>Radiální ventilátor s integrovanou zpětnou klapkou, instalace do podhledu 50m3/h, dp min=50Pa</t>
  </si>
  <si>
    <t>123</t>
  </si>
  <si>
    <t>2.5</t>
  </si>
  <si>
    <t>Radiální ventilátor s integrovanou zpětnou klapkou, instalace do podhledu 70m3/h, dp min=50Pa</t>
  </si>
  <si>
    <t>124</t>
  </si>
  <si>
    <t>2.6</t>
  </si>
  <si>
    <t>Těsné zaslepení pr. 125 s odkapem pro napojení na ZTI</t>
  </si>
  <si>
    <t>125</t>
  </si>
  <si>
    <t>2.7</t>
  </si>
  <si>
    <t>Výfuková protidešťová střešní tvarovka, pr. 125</t>
  </si>
  <si>
    <t>126</t>
  </si>
  <si>
    <t>2.8</t>
  </si>
  <si>
    <t>Al. laminátová hlavice s hlukovou a tepelnou izolací a parozábranou pr. 100</t>
  </si>
  <si>
    <t xml:space="preserve"> 2024</t>
  </si>
  <si>
    <t>127</t>
  </si>
  <si>
    <t>2.9</t>
  </si>
  <si>
    <t>VZT potrubí pr. 125, 40% tvarovek</t>
  </si>
  <si>
    <t>128</t>
  </si>
  <si>
    <t>2.10</t>
  </si>
  <si>
    <t>VZT potrubí pr. 160, 40% tvarovek</t>
  </si>
  <si>
    <t>129</t>
  </si>
  <si>
    <t>2.11</t>
  </si>
  <si>
    <t>Požární a tepelná izolace s atestem, odolnost dle PBŘ</t>
  </si>
  <si>
    <t>130</t>
  </si>
  <si>
    <t>2.12</t>
  </si>
  <si>
    <t>Pomocné nosné konstrukce pro kotvení VZT</t>
  </si>
  <si>
    <t>kg</t>
  </si>
  <si>
    <t>131</t>
  </si>
  <si>
    <t>2.13</t>
  </si>
  <si>
    <t>Materiál na závěsy, závitové tyče, hmoždinky, podložky, matice (5%)</t>
  </si>
  <si>
    <t>132</t>
  </si>
  <si>
    <t>2.14</t>
  </si>
  <si>
    <t>Montáž zařízení % z celku</t>
  </si>
  <si>
    <t>133</t>
  </si>
  <si>
    <t>2.15</t>
  </si>
  <si>
    <t>Doprava a vnitrostaveništní přesun 5% z celku</t>
  </si>
  <si>
    <t>134</t>
  </si>
  <si>
    <t>2.16</t>
  </si>
  <si>
    <t>Dokumentace skutečného provedení</t>
  </si>
  <si>
    <t>h</t>
  </si>
  <si>
    <t>135</t>
  </si>
  <si>
    <t>2.17</t>
  </si>
  <si>
    <t>Autorská dozor</t>
  </si>
  <si>
    <t>136</t>
  </si>
  <si>
    <t>730003</t>
  </si>
  <si>
    <t>Byt - viz samostatný rozpočet</t>
  </si>
  <si>
    <t>kpl</t>
  </si>
  <si>
    <t>73_</t>
  </si>
  <si>
    <t>KB_73_</t>
  </si>
  <si>
    <t>137</t>
  </si>
  <si>
    <t>730004</t>
  </si>
  <si>
    <t>Kancelář 1  - viz samostatný rozpočet</t>
  </si>
  <si>
    <t>138</t>
  </si>
  <si>
    <t>730005</t>
  </si>
  <si>
    <t>Kancelář 2  - viz samostatný rozpočet</t>
  </si>
  <si>
    <t>139</t>
  </si>
  <si>
    <t>998732201R00</t>
  </si>
  <si>
    <t>Přesun hmot pro ÚT, výšky do 6 m</t>
  </si>
  <si>
    <t>140</t>
  </si>
  <si>
    <t>762332110RT4</t>
  </si>
  <si>
    <t>Montáž vázaných krovů pravidelných do 120 cm2, včetně dodávky řeziva, hranoly 10/10</t>
  </si>
  <si>
    <t>762_</t>
  </si>
  <si>
    <t>KB_76_</t>
  </si>
  <si>
    <t>141</t>
  </si>
  <si>
    <t>762332120RT2</t>
  </si>
  <si>
    <t>Montáž vázaných krovů pravidelných do 224 cm2, včetně dodávky řeziva, hranoly 12/12</t>
  </si>
  <si>
    <t>142</t>
  </si>
  <si>
    <t>762395000R00</t>
  </si>
  <si>
    <t>Spojovací a ochranné prostředky pro střechy</t>
  </si>
  <si>
    <t>143</t>
  </si>
  <si>
    <t>762341210RT2</t>
  </si>
  <si>
    <t>Montáž bednění střech rovných, prkna hrubá na sraz, včetně dodávky palubek tloušťky 24 mm</t>
  </si>
  <si>
    <t>144</t>
  </si>
  <si>
    <t>145</t>
  </si>
  <si>
    <t>762911121R00</t>
  </si>
  <si>
    <t>Impregnace řeziva tlakovakuová</t>
  </si>
  <si>
    <t>146</t>
  </si>
  <si>
    <t>998762202R00</t>
  </si>
  <si>
    <t>Přesun hmot pro tesařské konstrukce, výšky do 12 m</t>
  </si>
  <si>
    <t>147</t>
  </si>
  <si>
    <t>764927105R00</t>
  </si>
  <si>
    <t>Zhotovení (výroba) a montáž oplechování parapetů z lakovaného plechu včetně rohů rš 330 mm - KB1</t>
  </si>
  <si>
    <t>764_</t>
  </si>
  <si>
    <t>148</t>
  </si>
  <si>
    <t>764928304R00</t>
  </si>
  <si>
    <t>Zhotovení (výroba) a montáž oplechování zdí z lakovaného plechu, rš 500 mm - KB2</t>
  </si>
  <si>
    <t>149</t>
  </si>
  <si>
    <t>764928303</t>
  </si>
  <si>
    <t>Zhotovení (výroba) a montáž oplechování zdí z lakovaného plechu, rš 450 mm - KB3</t>
  </si>
  <si>
    <t>150</t>
  </si>
  <si>
    <t>764928302R00</t>
  </si>
  <si>
    <t>Zhotovení (výroba) a montáž oplechování zdí z lakovaného plechu, rš 330 mm - KB4</t>
  </si>
  <si>
    <t>151</t>
  </si>
  <si>
    <t>764928301</t>
  </si>
  <si>
    <t>Zhotovení (výroba) a montáž oplechování zdí z lakovaného plechu, rš 245 mm - KB6</t>
  </si>
  <si>
    <t>152</t>
  </si>
  <si>
    <t>764908109R00</t>
  </si>
  <si>
    <t>Odpadní trouby kruhové, D 100 mm - KB5</t>
  </si>
  <si>
    <t>153</t>
  </si>
  <si>
    <t>764908110R00</t>
  </si>
  <si>
    <t>Odpadní trouby kruhové, D 125 mm - KB5</t>
  </si>
  <si>
    <t>154</t>
  </si>
  <si>
    <t>764454293R00</t>
  </si>
  <si>
    <t>Montáž kolena kruhového - KB5</t>
  </si>
  <si>
    <t>155</t>
  </si>
  <si>
    <t>28341086-1</t>
  </si>
  <si>
    <t>Koleno svodu 60° DN 100</t>
  </si>
  <si>
    <t>156</t>
  </si>
  <si>
    <t>28341087-1</t>
  </si>
  <si>
    <t>Koleno svodu 60° DN 125</t>
  </si>
  <si>
    <t>157</t>
  </si>
  <si>
    <t>764454292R00</t>
  </si>
  <si>
    <t>Montáž zděře kruhové a D+M kotevního třmenu svodu - KB5</t>
  </si>
  <si>
    <t>158</t>
  </si>
  <si>
    <t>55353044021-1</t>
  </si>
  <si>
    <t>Objímka d 125 mm</t>
  </si>
  <si>
    <t>159</t>
  </si>
  <si>
    <t>55353044011-1</t>
  </si>
  <si>
    <t>Objímka d 100 mm</t>
  </si>
  <si>
    <t>160</t>
  </si>
  <si>
    <t>764311241RT2</t>
  </si>
  <si>
    <t>Krytina hladká z Pz , svitky š.670 mm do 30° - lak. poplast. plech tl. 0,6 mm, červený</t>
  </si>
  <si>
    <t>161</t>
  </si>
  <si>
    <t>998764202R00</t>
  </si>
  <si>
    <t>Přesun hmot pro klempířské konstr., výšky do 12 m</t>
  </si>
  <si>
    <t>162</t>
  </si>
  <si>
    <t>766629301R00</t>
  </si>
  <si>
    <t>Montáž oken plastových plochy do 1,50 m2</t>
  </si>
  <si>
    <t>766_</t>
  </si>
  <si>
    <t>163</t>
  </si>
  <si>
    <t>61143814-1</t>
  </si>
  <si>
    <t>Okno plastové jednokřídlé 1100 x 1100 mm OS - OB17</t>
  </si>
  <si>
    <t>164</t>
  </si>
  <si>
    <t>61143801-1</t>
  </si>
  <si>
    <t>Okno plastové jednokřídlé 980 x 350 mm pevné - OB18</t>
  </si>
  <si>
    <t>165</t>
  </si>
  <si>
    <t>61143801-2</t>
  </si>
  <si>
    <t>Okno plastové jednokřídlé 550 x 550 mm O - OB11</t>
  </si>
  <si>
    <t>166</t>
  </si>
  <si>
    <t>61143801-3</t>
  </si>
  <si>
    <t>Okno plastové jednokřídlé 400 x 550 mm O - OB12</t>
  </si>
  <si>
    <t>167</t>
  </si>
  <si>
    <t>61143801-4</t>
  </si>
  <si>
    <t>Okno plastové jednokřídlé 930 x 400 mm pevné - OB15</t>
  </si>
  <si>
    <t>168</t>
  </si>
  <si>
    <t>61143801-5</t>
  </si>
  <si>
    <t>Okno plastové jednokřídlé 950 x 650 mm S - OB16</t>
  </si>
  <si>
    <t>169</t>
  </si>
  <si>
    <t>766629302R00</t>
  </si>
  <si>
    <t>Montáž oken plastových plochy do 2,70 m2</t>
  </si>
  <si>
    <t>170</t>
  </si>
  <si>
    <t>61143632</t>
  </si>
  <si>
    <t>Okno plastové 2křídlové 1200 x 1500 mm O/OS - OB13</t>
  </si>
  <si>
    <t>171</t>
  </si>
  <si>
    <t>611430004</t>
  </si>
  <si>
    <t>Okno plastové 3křídlové 1800 x 1300 mm O/OS - OB8</t>
  </si>
  <si>
    <t>172</t>
  </si>
  <si>
    <t>61143630-1</t>
  </si>
  <si>
    <t>Okno plastové 2křídlové 1200 x 1300 mm O/OS - OB9</t>
  </si>
  <si>
    <t>173</t>
  </si>
  <si>
    <t>61143630-2</t>
  </si>
  <si>
    <t>Okno plastové 2křídlové 1200 x 1450 mm O/OS - OB3</t>
  </si>
  <si>
    <t>174</t>
  </si>
  <si>
    <t>61143630-3</t>
  </si>
  <si>
    <t>Okno plastové 2křídlové 1500 x 1450 mm O/OS - OB5</t>
  </si>
  <si>
    <t>175</t>
  </si>
  <si>
    <t>766629303R00</t>
  </si>
  <si>
    <t>Montáž oken plastových plochy do 4,50 m2</t>
  </si>
  <si>
    <t>176</t>
  </si>
  <si>
    <t>611430003</t>
  </si>
  <si>
    <t>Okno plastové 3křídlové 1900 x 1650 mm O/OS - OB6</t>
  </si>
  <si>
    <t>177</t>
  </si>
  <si>
    <t>Okno plastové 3křídlové 2050 x 1450 mm O/OS - OB1</t>
  </si>
  <si>
    <t>178</t>
  </si>
  <si>
    <t>611430005</t>
  </si>
  <si>
    <t>Okno plastové 3křídlové 2000 x 1450 mm O/OS - OB4</t>
  </si>
  <si>
    <t>179</t>
  </si>
  <si>
    <t>766661122</t>
  </si>
  <si>
    <t>Montáž dveří otevíravých 1kř.nad 0,8 m</t>
  </si>
  <si>
    <t>180</t>
  </si>
  <si>
    <t>61173100-3</t>
  </si>
  <si>
    <t>Dveře vchodové 1000 x 2050 mm, zámek, klika, okopový plech - OB14</t>
  </si>
  <si>
    <t>181</t>
  </si>
  <si>
    <t>61173100-4</t>
  </si>
  <si>
    <t>Dveře vchodové plné 1050 x 2200 mm s nadsvětlíkem 1050 x 930 mm S, zámek, klika, okopový plech - OB7</t>
  </si>
  <si>
    <t>182</t>
  </si>
  <si>
    <t>61173100-5</t>
  </si>
  <si>
    <t>Dveře vchodové 960 x 2060 mm, zámek, klika, okopový plech - OB10</t>
  </si>
  <si>
    <t>183</t>
  </si>
  <si>
    <t>61173100-6</t>
  </si>
  <si>
    <t>Dveře vchodové 960 x 2240 mm, zámek, klika, okopový plech + okno jednokř. plast. 540 x 1500 mm O - OB2</t>
  </si>
  <si>
    <t>184</t>
  </si>
  <si>
    <t>766662312R00</t>
  </si>
  <si>
    <t>Montáž dveří do rámu, z tvr.dřeva, 1kř. do 80 cm, vč. D+M rámu - OB19</t>
  </si>
  <si>
    <t>185</t>
  </si>
  <si>
    <t>61174102</t>
  </si>
  <si>
    <t>Dveře vchodové plné 1kř. palubkové 800 x 1970 mm, zámek, klika</t>
  </si>
  <si>
    <t>186</t>
  </si>
  <si>
    <t>766660034RA0</t>
  </si>
  <si>
    <t>Montáž dveří a obložkové zárubně šířky 80 cm - OB21</t>
  </si>
  <si>
    <t>187</t>
  </si>
  <si>
    <t>611601203</t>
  </si>
  <si>
    <t>Dveře vnitřní plné 1-křídlé 800 x 1970 mm, zámek, klika</t>
  </si>
  <si>
    <t>188</t>
  </si>
  <si>
    <t>61181407</t>
  </si>
  <si>
    <t>Zárubeň obložková 1-křídlá 800 x 1970 mm</t>
  </si>
  <si>
    <t>189</t>
  </si>
  <si>
    <t>766660030RA0</t>
  </si>
  <si>
    <t>Montáž dveří a obložkové zárubně šířky 60 cm - OB20</t>
  </si>
  <si>
    <t>190</t>
  </si>
  <si>
    <t>611601201</t>
  </si>
  <si>
    <t>Dveře vnitřní plné 1-křídlé 600 x 1970 mm, zámek, klika</t>
  </si>
  <si>
    <t>191</t>
  </si>
  <si>
    <t>61181405</t>
  </si>
  <si>
    <t>Zárubeň obložková 1-křídlá 600 x 1970 mm</t>
  </si>
  <si>
    <t>192</t>
  </si>
  <si>
    <t>998766201R00</t>
  </si>
  <si>
    <t>Přesun hmot pro truhlářské konstr., výšky do 6 m</t>
  </si>
  <si>
    <t>193</t>
  </si>
  <si>
    <t>767222230-1</t>
  </si>
  <si>
    <t>D+M zábradlí - ZB1</t>
  </si>
  <si>
    <t>767_</t>
  </si>
  <si>
    <t>194</t>
  </si>
  <si>
    <t>767222230-2</t>
  </si>
  <si>
    <t>D+M zábradlí - ZB3</t>
  </si>
  <si>
    <t>195</t>
  </si>
  <si>
    <t>767222120-1</t>
  </si>
  <si>
    <t>D+M zábradlí - ZB2</t>
  </si>
  <si>
    <t>196</t>
  </si>
  <si>
    <t>998767201R00</t>
  </si>
  <si>
    <t>Přesun hmot pro zámečnické konstr., výšky do 6 m</t>
  </si>
  <si>
    <t>197</t>
  </si>
  <si>
    <t>771101210RT1</t>
  </si>
  <si>
    <t>Penetrace podkladu pod dlažby vč.materiálu</t>
  </si>
  <si>
    <t>771_</t>
  </si>
  <si>
    <t>KB_77_</t>
  </si>
  <si>
    <t>198</t>
  </si>
  <si>
    <t>771575109RT6</t>
  </si>
  <si>
    <t>Montáž keramické dlažby, na tmel, spár. hmota</t>
  </si>
  <si>
    <t>199</t>
  </si>
  <si>
    <t>597642032</t>
  </si>
  <si>
    <t>Dlažba protiskluzová tl. 6 mm - výběr dle stavebníka</t>
  </si>
  <si>
    <t>200</t>
  </si>
  <si>
    <t>998771201R00</t>
  </si>
  <si>
    <t>Přesun hmot pro podlahy z dlaždic, výšky do 6 m</t>
  </si>
  <si>
    <t>201</t>
  </si>
  <si>
    <t>776101101R00</t>
  </si>
  <si>
    <t>Vysávání podlah prům.vysavačem pod povlak.podlahy</t>
  </si>
  <si>
    <t>776_</t>
  </si>
  <si>
    <t>202</t>
  </si>
  <si>
    <t>776583110R00</t>
  </si>
  <si>
    <t>Položení podložky pod povlakové podlahy</t>
  </si>
  <si>
    <t>203</t>
  </si>
  <si>
    <t>28375320</t>
  </si>
  <si>
    <t>Podložka izolační pod podlahu tl. 2 mm</t>
  </si>
  <si>
    <t>204</t>
  </si>
  <si>
    <t>776511000RU4</t>
  </si>
  <si>
    <t>Lepení povlakových podlah z pásů pryžových včetně podlahoviny tl. 6,0 mm, soklíky</t>
  </si>
  <si>
    <t>205</t>
  </si>
  <si>
    <t>998776201R00</t>
  </si>
  <si>
    <t>Přesun hmot pro podlahy povlakové, výšky do 6 m</t>
  </si>
  <si>
    <t>206</t>
  </si>
  <si>
    <t>781101111R00</t>
  </si>
  <si>
    <t>Vyrovnání podkladu maltou ze SMS tl. do 7 mm</t>
  </si>
  <si>
    <t>781_</t>
  </si>
  <si>
    <t>KB_78_</t>
  </si>
  <si>
    <t>207</t>
  </si>
  <si>
    <t>781101141R00</t>
  </si>
  <si>
    <t>Hydroizolační stěrka jednovrstvá pod obklady</t>
  </si>
  <si>
    <t>208</t>
  </si>
  <si>
    <t>781101210RT1</t>
  </si>
  <si>
    <t>Penetrace podkladu pod obklady, penetrační nátěr</t>
  </si>
  <si>
    <t>209</t>
  </si>
  <si>
    <t>781475114RT6</t>
  </si>
  <si>
    <t>Obklad vnitřní stěn keramický, do tmele, 20x20 cm, lepidlo, spárovací hmota, lišty</t>
  </si>
  <si>
    <t>210</t>
  </si>
  <si>
    <t>597813604</t>
  </si>
  <si>
    <t>Obkládačka 200 x 200 mm - dle výběru investora</t>
  </si>
  <si>
    <t>211</t>
  </si>
  <si>
    <t>998781201R00</t>
  </si>
  <si>
    <t>Přesun hmot pro obklady keramické, výšky do 6 m</t>
  </si>
  <si>
    <t>212</t>
  </si>
  <si>
    <t>783671103R00</t>
  </si>
  <si>
    <t>Nátěr polyuretanový truhlářských výrobků 3x lazur</t>
  </si>
  <si>
    <t>783_</t>
  </si>
  <si>
    <t>213</t>
  </si>
  <si>
    <t>783122710R00</t>
  </si>
  <si>
    <t>Nátěr syntetický OK "A" základní</t>
  </si>
  <si>
    <t>214</t>
  </si>
  <si>
    <t>784011222RT2</t>
  </si>
  <si>
    <t>Zakrytí podlah, včetně odstranění včetně papírové lepenky</t>
  </si>
  <si>
    <t>784_</t>
  </si>
  <si>
    <t>215</t>
  </si>
  <si>
    <t>784111701R00</t>
  </si>
  <si>
    <t>Penetrace podkladu nátěrem sádrokarton 1x</t>
  </si>
  <si>
    <t>216</t>
  </si>
  <si>
    <t>784115712R00</t>
  </si>
  <si>
    <t>Malba sádrokarton, bílá, bez penetrace, 2 x</t>
  </si>
  <si>
    <t>217</t>
  </si>
  <si>
    <t>784111201R00</t>
  </si>
  <si>
    <t>Penetrace podkladu nátěrem 1 x</t>
  </si>
  <si>
    <t>218</t>
  </si>
  <si>
    <t>784115412R00</t>
  </si>
  <si>
    <t>Malba bílá, bez penetrace, 2 x</t>
  </si>
  <si>
    <t>219</t>
  </si>
  <si>
    <t>786622211RT2</t>
  </si>
  <si>
    <t>Žaluzie horizontální vnitřní AL lamely, včetně dodávky žaluzie</t>
  </si>
  <si>
    <t>786_</t>
  </si>
  <si>
    <t>220</t>
  </si>
  <si>
    <t>998786201R00</t>
  </si>
  <si>
    <t>Přesun hmot pro zastiň. techniku, výšky do 6 m</t>
  </si>
  <si>
    <t>221</t>
  </si>
  <si>
    <t>787340430R00</t>
  </si>
  <si>
    <t>Zasklení střech - SB1</t>
  </si>
  <si>
    <t>787_</t>
  </si>
  <si>
    <t>222</t>
  </si>
  <si>
    <t>283189103</t>
  </si>
  <si>
    <t>Stříška vchodová rovná, 1600 x 950 mm</t>
  </si>
  <si>
    <t>223</t>
  </si>
  <si>
    <t>998787201R00</t>
  </si>
  <si>
    <t>Přesun hmot pro zasklívání, výšky do 6 m</t>
  </si>
  <si>
    <t>224</t>
  </si>
  <si>
    <t>900100002RAA</t>
  </si>
  <si>
    <t>Oplocení z poplastovaného pletiva</t>
  </si>
  <si>
    <t>100 m</t>
  </si>
  <si>
    <t>90_</t>
  </si>
  <si>
    <t>KB_9_</t>
  </si>
  <si>
    <t>225</t>
  </si>
  <si>
    <t>91666111-1</t>
  </si>
  <si>
    <t>Osazení  obrubníků do lože z C 25/30 včetně obrubníku 80x250x1000 mm</t>
  </si>
  <si>
    <t>91_</t>
  </si>
  <si>
    <t>226</t>
  </si>
  <si>
    <t>917762114RT7</t>
  </si>
  <si>
    <t>Osazení ležatého obrubníku betonového, s boční opěrou, do lože z betonu C 25/30, včetně obrubníku</t>
  </si>
  <si>
    <t>227</t>
  </si>
  <si>
    <t>917862114RT7</t>
  </si>
  <si>
    <t>Osazení stojatého obrubníku betonového, s boční opěrou, do lože z betonu C 25/30 včetně obrubníku</t>
  </si>
  <si>
    <t>228</t>
  </si>
  <si>
    <t>919735114R00</t>
  </si>
  <si>
    <t>Řezání stávajícího živičného krytu tl. 15 - 20 cm</t>
  </si>
  <si>
    <t>229</t>
  </si>
  <si>
    <t>941941031R00</t>
  </si>
  <si>
    <t>Montáž lešení leh.řad.s podlahami,š.do 1 m, H 10 m</t>
  </si>
  <si>
    <t>94_</t>
  </si>
  <si>
    <t>230</t>
  </si>
  <si>
    <t>941941191RT2</t>
  </si>
  <si>
    <t>Příplatek za každý měsíc použití lešení k pol.1031</t>
  </si>
  <si>
    <t>231</t>
  </si>
  <si>
    <t>941941831R00</t>
  </si>
  <si>
    <t>Demontáž lešení leh.řad.s podlahami,š.1 m, H 10 m</t>
  </si>
  <si>
    <t>232</t>
  </si>
  <si>
    <t>941941502R00</t>
  </si>
  <si>
    <t>Doprava lešení pronaj-dovoz a odvoz sady do 250m2</t>
  </si>
  <si>
    <t>km</t>
  </si>
  <si>
    <t>233</t>
  </si>
  <si>
    <t>953943122R00</t>
  </si>
  <si>
    <t>Osazení kovových předmětů do betonu, 5 kg / kus</t>
  </si>
  <si>
    <t>95_</t>
  </si>
  <si>
    <t>234</t>
  </si>
  <si>
    <t>5531203121</t>
  </si>
  <si>
    <t>Tyč závitová l = 2 m ZNCR, M10</t>
  </si>
  <si>
    <t>235</t>
  </si>
  <si>
    <t>31171801.A</t>
  </si>
  <si>
    <t>Kotva chemická - ampule maxima M10</t>
  </si>
  <si>
    <t>236</t>
  </si>
  <si>
    <t>953943112R00</t>
  </si>
  <si>
    <t>Osazení kovových předmětů do zdiva, 5 kg / kus</t>
  </si>
  <si>
    <t>237</t>
  </si>
  <si>
    <t>Tyč závitová 10 l = 2 m ZNCR, M10</t>
  </si>
  <si>
    <t>238</t>
  </si>
  <si>
    <t>239</t>
  </si>
  <si>
    <t>953941312R00</t>
  </si>
  <si>
    <t>Osazení požárního hasicího přístroje na stěnu</t>
  </si>
  <si>
    <t>240</t>
  </si>
  <si>
    <t>44984114</t>
  </si>
  <si>
    <t>Přístroj hasicí práškový 21A/113B</t>
  </si>
  <si>
    <t>241</t>
  </si>
  <si>
    <t>242</t>
  </si>
  <si>
    <t>968061112R00</t>
  </si>
  <si>
    <t>Vyvěšení dřevěných a plastových okenních křídel pl. do 1,5 m2</t>
  </si>
  <si>
    <t>96_</t>
  </si>
  <si>
    <t>243</t>
  </si>
  <si>
    <t>968062244R00</t>
  </si>
  <si>
    <t>Vybourání dřevěných rámů oken pl. 1 m2</t>
  </si>
  <si>
    <t>244</t>
  </si>
  <si>
    <t>968062245R00</t>
  </si>
  <si>
    <t>Vybourání dřevěných rámů oken pl. 2 m2</t>
  </si>
  <si>
    <t>245</t>
  </si>
  <si>
    <t>968062246R00</t>
  </si>
  <si>
    <t>Vybourání dřevěných rámů oken pl. 4 m2</t>
  </si>
  <si>
    <t>246</t>
  </si>
  <si>
    <t>968061125R00</t>
  </si>
  <si>
    <t>Vyvěšení dřevěných a plastových dveřních křídel pl. do 2 m2</t>
  </si>
  <si>
    <t>247</t>
  </si>
  <si>
    <t>968061126R00</t>
  </si>
  <si>
    <t>Vyvěšení dřevěných a plastových dveřních křídel pl. nad 2 m2</t>
  </si>
  <si>
    <t>248</t>
  </si>
  <si>
    <t>968062455R00</t>
  </si>
  <si>
    <t>Vybourání dřevěných dveřních zárubní pl. do 2 m2</t>
  </si>
  <si>
    <t>249</t>
  </si>
  <si>
    <t>968062456R00</t>
  </si>
  <si>
    <t>Vybourání dřevěných dveřních zárubní pl. nad 2 m2</t>
  </si>
  <si>
    <t>250</t>
  </si>
  <si>
    <t>979990162R00</t>
  </si>
  <si>
    <t>Poplatek za uložení suti - dřevo+sklo, skupina odpadu 170904</t>
  </si>
  <si>
    <t>251</t>
  </si>
  <si>
    <t>962031113R00</t>
  </si>
  <si>
    <t>Bourání příček z cihel tl. 65-120 mm</t>
  </si>
  <si>
    <t>252</t>
  </si>
  <si>
    <t>962031116R00</t>
  </si>
  <si>
    <t>Bourání příček z cihel tl. 140-170 mm</t>
  </si>
  <si>
    <t>253</t>
  </si>
  <si>
    <t>962032231R00</t>
  </si>
  <si>
    <t>Bourání zdiva z cihel pálených na MVC</t>
  </si>
  <si>
    <t>254</t>
  </si>
  <si>
    <t>974031154R00</t>
  </si>
  <si>
    <t>Vysekání rýh ve zdi cihelné 10 x 15 cm</t>
  </si>
  <si>
    <t>255</t>
  </si>
  <si>
    <t>973031325R00</t>
  </si>
  <si>
    <t>Vysekání kapes zeď cihel. MVC, pl. 0,1m2, hl. 30cm</t>
  </si>
  <si>
    <t>256</t>
  </si>
  <si>
    <t>970031130R00</t>
  </si>
  <si>
    <t>Vrtání jádrové do zdiva cihelného do D 130 mm</t>
  </si>
  <si>
    <t>257</t>
  </si>
  <si>
    <t>974031164R00</t>
  </si>
  <si>
    <t>Vysekání rýh ve zdi cihelné do 15 x 15 cm</t>
  </si>
  <si>
    <t>258</t>
  </si>
  <si>
    <t>974100020RA0</t>
  </si>
  <si>
    <t>Vysekání rýh ve zdivu z cihel, 10 x 10 cm</t>
  </si>
  <si>
    <t>259</t>
  </si>
  <si>
    <t>979999983R00</t>
  </si>
  <si>
    <t>Poplatek za recyklaci cihel kusovost do 1600 cm2 (skup.170102)</t>
  </si>
  <si>
    <t>260</t>
  </si>
  <si>
    <t>965081713RT2</t>
  </si>
  <si>
    <t>Bourání dlažeb keramických tl.10 mm, nad 1 m2</t>
  </si>
  <si>
    <t>261</t>
  </si>
  <si>
    <t>978059531R00</t>
  </si>
  <si>
    <t>Odsekání vnitřních obkladů stěn nad 2 m2</t>
  </si>
  <si>
    <t>262</t>
  </si>
  <si>
    <t>965048150-1</t>
  </si>
  <si>
    <t>Dočištění povrchu po vybourání dlažeb, tmel, stěrka do 100%</t>
  </si>
  <si>
    <t>263</t>
  </si>
  <si>
    <t>725290010RA0</t>
  </si>
  <si>
    <t>Demontáž klozetu včetně splachovací nádrže</t>
  </si>
  <si>
    <t>264</t>
  </si>
  <si>
    <t>725130812R00</t>
  </si>
  <si>
    <t>Demontáž pisoárové nádrže + 2 stání</t>
  </si>
  <si>
    <t>265</t>
  </si>
  <si>
    <t>725290020RA0</t>
  </si>
  <si>
    <t>Demontáž umyvadla včetně baterie a konzol</t>
  </si>
  <si>
    <t>266</t>
  </si>
  <si>
    <t>979999984R00</t>
  </si>
  <si>
    <t>Poplatek za recyklaci - tašky, keramika, do 1600 cm2 (skup.170103)</t>
  </si>
  <si>
    <t>267</t>
  </si>
  <si>
    <t>961100015RA0</t>
  </si>
  <si>
    <t>Bourání základů z betonu prostého</t>
  </si>
  <si>
    <t>268</t>
  </si>
  <si>
    <t>970051130R00</t>
  </si>
  <si>
    <t>Vrtání jádrové do ŽB do D 130 mm</t>
  </si>
  <si>
    <t>269</t>
  </si>
  <si>
    <t>97205416-1</t>
  </si>
  <si>
    <t>Vybourání otvorů ve stropech ŽB plochy do 0,0225 m2, tl. nad 250 mm</t>
  </si>
  <si>
    <t>270</t>
  </si>
  <si>
    <t>979999978R00</t>
  </si>
  <si>
    <t>Poplatek za recyklaci, beton lehce vyztužený, kusovost do 1600 cm2 (skup.170101)</t>
  </si>
  <si>
    <t>271</t>
  </si>
  <si>
    <t>764321819</t>
  </si>
  <si>
    <t>Demontáž oplechování, rš 450 mm</t>
  </si>
  <si>
    <t>272</t>
  </si>
  <si>
    <t>764321821R00</t>
  </si>
  <si>
    <t>Demontáž oplechování, rš 500 mm, do 45°</t>
  </si>
  <si>
    <t>273</t>
  </si>
  <si>
    <t>764430840R00</t>
  </si>
  <si>
    <t>Demontáž oplechování zdí, rš od 330 do 500 mm</t>
  </si>
  <si>
    <t>274</t>
  </si>
  <si>
    <t>764453844R00</t>
  </si>
  <si>
    <t>Demontáž kolen</t>
  </si>
  <si>
    <t>275</t>
  </si>
  <si>
    <t>764454801R00</t>
  </si>
  <si>
    <t>Demontáž odpadních trub kruhových, D 75 a 100 mm vč. objímek</t>
  </si>
  <si>
    <t>276</t>
  </si>
  <si>
    <t>764454802</t>
  </si>
  <si>
    <t>Demontáž odpadních trub kruhových, D 125 mm vč. objímek</t>
  </si>
  <si>
    <t>277</t>
  </si>
  <si>
    <t>976071111R00</t>
  </si>
  <si>
    <t>Vybourání kovových zábradlí a madel</t>
  </si>
  <si>
    <t>278</t>
  </si>
  <si>
    <t>767900040RA0</t>
  </si>
  <si>
    <t>Demontáž oplocení z pletiva</t>
  </si>
  <si>
    <t>279</t>
  </si>
  <si>
    <t>979951131R00</t>
  </si>
  <si>
    <t>Výkup kovů - hliník, plechy</t>
  </si>
  <si>
    <t>280</t>
  </si>
  <si>
    <t>776511820RT1</t>
  </si>
  <si>
    <t>Odstranění PVC a koberců lepených s podložkou</t>
  </si>
  <si>
    <t>281</t>
  </si>
  <si>
    <t>979990181R00</t>
  </si>
  <si>
    <t>Poplatek za uložení suti - PVC podlahová krytina, skupina odpadu 200307</t>
  </si>
  <si>
    <t>282</t>
  </si>
  <si>
    <t>979086213R00</t>
  </si>
  <si>
    <t>Nakládání vybouraných hmot na dopravní prostředek</t>
  </si>
  <si>
    <t>283</t>
  </si>
  <si>
    <t>979082111R00</t>
  </si>
  <si>
    <t>Vnitrostaveništní doprava suti</t>
  </si>
  <si>
    <t>284</t>
  </si>
  <si>
    <t>979081121R00</t>
  </si>
  <si>
    <t>Příplatek k odvozu za každý další 1 km</t>
  </si>
  <si>
    <t>285</t>
  </si>
  <si>
    <t>979081111R00</t>
  </si>
  <si>
    <t>Odvoz suti a vybour. hmot na skládku do 1 km</t>
  </si>
  <si>
    <t>286</t>
  </si>
  <si>
    <t>979011111R00</t>
  </si>
  <si>
    <t>Svislá doprava suti a vybour. hmot</t>
  </si>
  <si>
    <t>287</t>
  </si>
  <si>
    <t>M22</t>
  </si>
  <si>
    <t>Elektroinstalace -  - viz samostatný rozpočet</t>
  </si>
  <si>
    <t>M21_</t>
  </si>
  <si>
    <t>288</t>
  </si>
  <si>
    <t>013002VRN</t>
  </si>
  <si>
    <t>Projektové práce - výrobní dokumentace</t>
  </si>
  <si>
    <t>Soubor</t>
  </si>
  <si>
    <t>01VRN_</t>
  </si>
  <si>
    <t>KB_Â _</t>
  </si>
  <si>
    <t>289</t>
  </si>
  <si>
    <t>Projektové práce - DSP</t>
  </si>
  <si>
    <t>290</t>
  </si>
  <si>
    <t>030001VRN</t>
  </si>
  <si>
    <t>03VRN_</t>
  </si>
  <si>
    <t>291</t>
  </si>
  <si>
    <t>043002VRN</t>
  </si>
  <si>
    <t>Zkoušky</t>
  </si>
  <si>
    <t>04VRN_</t>
  </si>
  <si>
    <t>292</t>
  </si>
  <si>
    <t>075002VRN</t>
  </si>
  <si>
    <t>Ochraná pásma objektů a inženýrských sítí</t>
  </si>
  <si>
    <t>07VRN_</t>
  </si>
  <si>
    <t>293</t>
  </si>
  <si>
    <t>072002VRN</t>
  </si>
  <si>
    <t>Silniční provoz - DIO, DIR a dopravní značení</t>
  </si>
  <si>
    <t>294</t>
  </si>
  <si>
    <t>079002VRN</t>
  </si>
  <si>
    <t>Ostatní provozní vlivy</t>
  </si>
  <si>
    <t>Výkaz výměr</t>
  </si>
  <si>
    <t>Objekt</t>
  </si>
  <si>
    <t>Potřebné množství</t>
  </si>
  <si>
    <t>N</t>
  </si>
  <si>
    <t>3*0,6*0,6</t>
  </si>
  <si>
    <t>kanalizace</t>
  </si>
  <si>
    <t>0,6*(1,31+4,1)*(1,08+0,95)</t>
  </si>
  <si>
    <t>stěna a schodiště do suterénu</t>
  </si>
  <si>
    <t>0,6*1,15*2,6</t>
  </si>
  <si>
    <t>1,07*1,15*0,3*2</t>
  </si>
  <si>
    <t>0,6*1*1,224</t>
  </si>
  <si>
    <t>9,85608/2</t>
  </si>
  <si>
    <t>9,85608</t>
  </si>
  <si>
    <t>9,85608-4,55889</t>
  </si>
  <si>
    <t>9,85608-0,3*(1,31+4,1)*(1,08+0,95)</t>
  </si>
  <si>
    <t>-0,3*1,15*2,6</t>
  </si>
  <si>
    <t>-1,07*1,15*0,3*2</t>
  </si>
  <si>
    <t>-0,3*1*1,224</t>
  </si>
  <si>
    <t>1,1*0,6*0,37</t>
  </si>
  <si>
    <t>2,6*1,15</t>
  </si>
  <si>
    <t>1,85*0,4*1</t>
  </si>
  <si>
    <t>1,85*(0,4+1)*2</t>
  </si>
  <si>
    <t>2,15*8*0,89*1,08/1000</t>
  </si>
  <si>
    <t>R12 - 1</t>
  </si>
  <si>
    <t>2,5*8*0,39*1,08/1000</t>
  </si>
  <si>
    <t>R8 - 2</t>
  </si>
  <si>
    <t>0,4*0,4*(2,85+1,5+2,95)</t>
  </si>
  <si>
    <t>1,07*0,3*1,15*2</t>
  </si>
  <si>
    <t>0,4*3*(2,85+1,5+2,95)</t>
  </si>
  <si>
    <t>1,4*42*0,39*1,08/1000</t>
  </si>
  <si>
    <t>R8 - 6</t>
  </si>
  <si>
    <t>7,7*2*0,61*1,08/1000</t>
  </si>
  <si>
    <t>R10 - 4</t>
  </si>
  <si>
    <t>(7,7*2+3)*1,21*1,08/1000</t>
  </si>
  <si>
    <t>R14 - 5,7</t>
  </si>
  <si>
    <t>7,9*3*1,58*1,08/1000</t>
  </si>
  <si>
    <t>R16 - 3</t>
  </si>
  <si>
    <t>(2,78-2,38)*1,5*0,8</t>
  </si>
  <si>
    <t>0,3*1*1,224</t>
  </si>
  <si>
    <t>0,4*(0,8+1,5)*2</t>
  </si>
  <si>
    <t>(0,3+1,224)*1*2</t>
  </si>
  <si>
    <t>2,99*0,1</t>
  </si>
  <si>
    <t>2,45*(6,75*2+1,1)</t>
  </si>
  <si>
    <t>parkoviště</t>
  </si>
  <si>
    <t>3*1,9*10,4/1000</t>
  </si>
  <si>
    <t>3*1,6*8,1/1000</t>
  </si>
  <si>
    <t>1,3*4*6/1000</t>
  </si>
  <si>
    <t>PB1</t>
  </si>
  <si>
    <t>1,2*2*6/1000</t>
  </si>
  <si>
    <t>PB5</t>
  </si>
  <si>
    <t>;ztratné 8%; 0,0047424</t>
  </si>
  <si>
    <t>;ztratné 8%; 0,0031104</t>
  </si>
  <si>
    <t>;ztratné 8%; 0,003648</t>
  </si>
  <si>
    <t>1,5</t>
  </si>
  <si>
    <t>0,25*2*3,1</t>
  </si>
  <si>
    <t>1,5*(3,1-2)</t>
  </si>
  <si>
    <t>1,45*0,76</t>
  </si>
  <si>
    <t>1,5*(1,31+4,1)</t>
  </si>
  <si>
    <t>(1,35+1,45)*44*0,61*1,1*1,08/1000</t>
  </si>
  <si>
    <t>R10</t>
  </si>
  <si>
    <t>(1,65*6+4,1*12+2*6)*0,39*1,1*1,08/1000</t>
  </si>
  <si>
    <t>R8</t>
  </si>
  <si>
    <t>1,31+4,1</t>
  </si>
  <si>
    <t>2,91*(1,5+1,5+2,47)-0,8*1,97*3</t>
  </si>
  <si>
    <t>1*2</t>
  </si>
  <si>
    <t>2,91*(2,9+0,9+1,45)-0,6*1,97</t>
  </si>
  <si>
    <t>2*3,24</t>
  </si>
  <si>
    <t>1,35*1,97-0,8*1,97</t>
  </si>
  <si>
    <t>49,06</t>
  </si>
  <si>
    <t>C1N</t>
  </si>
  <si>
    <t>11,22+17,97+19,92+1,48+1,82+3,1</t>
  </si>
  <si>
    <t>C4N</t>
  </si>
  <si>
    <t>0,1*2,6*1,15</t>
  </si>
  <si>
    <t>0,165*0,3/2*8</t>
  </si>
  <si>
    <t>1,15*0,165*8</t>
  </si>
  <si>
    <t>2,6*1,1*4,44*1,2*1,08/1000</t>
  </si>
  <si>
    <t>2,7*1,8</t>
  </si>
  <si>
    <t>chodník</t>
  </si>
  <si>
    <t>1,1*0,6*0,1</t>
  </si>
  <si>
    <t>kanalizace - podsyp</t>
  </si>
  <si>
    <t>;ztratné 15%; 0,729</t>
  </si>
  <si>
    <t>1,8*2+2,7</t>
  </si>
  <si>
    <t>2,45*(6,75*2+1,1)/(0,4*0,6)</t>
  </si>
  <si>
    <t>0,95833</t>
  </si>
  <si>
    <t>zaokrouhlení</t>
  </si>
  <si>
    <t>;ztratné 20%; 30</t>
  </si>
  <si>
    <t>8,05*2</t>
  </si>
  <si>
    <t>8,05*2*0,5</t>
  </si>
  <si>
    <t>(4,5+4,9)*0,5*4</t>
  </si>
  <si>
    <t>1PP</t>
  </si>
  <si>
    <t>1,1*4+(0,98+0,35)*2+(0,8+1,97*2)*7+(0,6+1,97*2)</t>
  </si>
  <si>
    <t>0,55*4+(0,4+0,55)*2+(1,2+1,5)*2+(1+2,05*2)+(0,93+0,4)*2+(0,95+0,65)*2</t>
  </si>
  <si>
    <t>(1,9+1,65)*2*2+(1,05+3,13*2)+(1,8+1,3)*2+(1,2+1,3)*2*2+(0,96+2,06*2)</t>
  </si>
  <si>
    <t>(2,05+1,45)*2+(0,54*2+2,24*2+0,96*2)+(1,2+1,45)*2*2+(2+1,45)*2+(1,5+1,45)*2</t>
  </si>
  <si>
    <t>0,4*(1,05+3,1*2)+3*3,12+0,3*3*5+1*3</t>
  </si>
  <si>
    <t>kancelář</t>
  </si>
  <si>
    <t>3*3,12+0,75*1,45+0,3*3+1,65*2*2-0,8*1,970,35*(0,8*1,97*2)+0,3*3*4</t>
  </si>
  <si>
    <t>Kancelář</t>
  </si>
  <si>
    <t>9,9+0,3+0,96+0,76+1,2+1,25+1,8+5,71+0,16+21,9+0,16*2+1+2,05+1,2+0,54+0,96+6,01+0,16</t>
  </si>
  <si>
    <t>(1+2,05+1,2+0,54+0,96+6,01+0,16)*0,8</t>
  </si>
  <si>
    <t>(1,27+1,2+1,1+1,2+1,63+2+0,76+1,5+0,9)*1,8</t>
  </si>
  <si>
    <t>(2,03+1,9+1,91+1,9+1,55+0,16)*1,9</t>
  </si>
  <si>
    <t>(5,71+1,8+1,25+1,2+0,76+0,96+0,3)*0,8</t>
  </si>
  <si>
    <t>9,9*0,8</t>
  </si>
  <si>
    <t>9,9*3,51-1,2*1,5-1,2*1,3</t>
  </si>
  <si>
    <t>(0,16+2,65+0,3+0,96+0,76+1,2+1,25+1,8+5,71+0,16)*4,18+6,115*4,58-0,8*1,97-1,2*1,3-1,8*1,3</t>
  </si>
  <si>
    <t>(21,9+0,16*2)*4,18-1,9*1,65*2-1,05*3,1-1,5*1,45-2*1,45-1,2*1,45*2</t>
  </si>
  <si>
    <t>0,16*(0,4*2+0,55*6+1,2*6+1,3*6+1*2+0,96+2*2+1,9*4+1,65*4)</t>
  </si>
  <si>
    <t>byt</t>
  </si>
  <si>
    <t>0,16*(1,2*2+1,5*4+1,05+3,1*2+1,45*10+2*2+1,2*4+2,05*4+0,54*2+0,96+2,24*2)</t>
  </si>
  <si>
    <t>1,1*1,1</t>
  </si>
  <si>
    <t>0,98*0,35</t>
  </si>
  <si>
    <t>0,8*1,97</t>
  </si>
  <si>
    <t>0,55*0,55</t>
  </si>
  <si>
    <t>0,4*0,55</t>
  </si>
  <si>
    <t>1,2*1,5</t>
  </si>
  <si>
    <t>1*2,05</t>
  </si>
  <si>
    <t>0,93*0,4</t>
  </si>
  <si>
    <t>0,95*0,65</t>
  </si>
  <si>
    <t>1,9*1,65*2</t>
  </si>
  <si>
    <t>1,05*3,13</t>
  </si>
  <si>
    <t>1,8*1,3</t>
  </si>
  <si>
    <t>1,2*1,3*2</t>
  </si>
  <si>
    <t>0,96*2,06</t>
  </si>
  <si>
    <t>2,05*1,45</t>
  </si>
  <si>
    <t>0,54*1,5+0,96*2,24</t>
  </si>
  <si>
    <t>1,2*1,45*2</t>
  </si>
  <si>
    <t>2*1,45</t>
  </si>
  <si>
    <t>1,5*1,45</t>
  </si>
  <si>
    <t>(191,2103+65,803)/100*30</t>
  </si>
  <si>
    <t>191,2103+65,803</t>
  </si>
  <si>
    <t>112,04</t>
  </si>
  <si>
    <t>13,21</t>
  </si>
  <si>
    <t>16,43</t>
  </si>
  <si>
    <t>6,96</t>
  </si>
  <si>
    <t>2,75</t>
  </si>
  <si>
    <t>1,1</t>
  </si>
  <si>
    <t>OB17</t>
  </si>
  <si>
    <t>0,98</t>
  </si>
  <si>
    <t>OB18</t>
  </si>
  <si>
    <t>0,55</t>
  </si>
  <si>
    <t>OB11</t>
  </si>
  <si>
    <t>0,4</t>
  </si>
  <si>
    <t>OB12</t>
  </si>
  <si>
    <t>1,2</t>
  </si>
  <si>
    <t>OB13</t>
  </si>
  <si>
    <t>0,93</t>
  </si>
  <si>
    <t>OB15</t>
  </si>
  <si>
    <t>0,95</t>
  </si>
  <si>
    <t>OB16</t>
  </si>
  <si>
    <t>1,9*2</t>
  </si>
  <si>
    <t>OB6</t>
  </si>
  <si>
    <t>1,8</t>
  </si>
  <si>
    <t>OB8</t>
  </si>
  <si>
    <t>1,2*2</t>
  </si>
  <si>
    <t>OB9</t>
  </si>
  <si>
    <t>2,05</t>
  </si>
  <si>
    <t>OB1</t>
  </si>
  <si>
    <t>0,54</t>
  </si>
  <si>
    <t>OB2</t>
  </si>
  <si>
    <t>OB3</t>
  </si>
  <si>
    <t>OB4</t>
  </si>
  <si>
    <t>OB5</t>
  </si>
  <si>
    <t>(1,08+0,95)*(1,31+4,1)</t>
  </si>
  <si>
    <t>(1,08+0,95)*(1,31+4,1)*1,2</t>
  </si>
  <si>
    <t>(1,08+0,95)*(1,31+4,1)*1,15</t>
  </si>
  <si>
    <t>128,2416</t>
  </si>
  <si>
    <t>8,69+4,37+2,1</t>
  </si>
  <si>
    <t>C5N</t>
  </si>
  <si>
    <t>(11,22+17,97+19,92+1,48+1,82+3,1)*4</t>
  </si>
  <si>
    <t>(8,69+4,37+2,1)*4</t>
  </si>
  <si>
    <t>(11,22+17,97+19,92+1,48+1,82+3,1)*3</t>
  </si>
  <si>
    <t>(8,69+4,37+2,1)*3</t>
  </si>
  <si>
    <t>;ztratné 8%; 20,8856</t>
  </si>
  <si>
    <t>(11,22+17,97+19,92+1,48+1,82+3,1)</t>
  </si>
  <si>
    <t>(8,69+4,37+2,1)</t>
  </si>
  <si>
    <t>;ztratné 8%; 5,6536</t>
  </si>
  <si>
    <t>2488,4241</t>
  </si>
  <si>
    <t>2*1</t>
  </si>
  <si>
    <t>0,5*2</t>
  </si>
  <si>
    <t>43,8763</t>
  </si>
  <si>
    <t>2*(1,1+1,1+0,5)+0,6</t>
  </si>
  <si>
    <t>2*(2,3+2,4+1,3+0,7+3*1,1+5,5+1+4,4+0,5+7,5+0,5)</t>
  </si>
  <si>
    <t>58,8</t>
  </si>
  <si>
    <t>6+58,8</t>
  </si>
  <si>
    <t>1079,0769</t>
  </si>
  <si>
    <t>653,2499</t>
  </si>
  <si>
    <t>92,2501</t>
  </si>
  <si>
    <t>0,5</t>
  </si>
  <si>
    <t>3046,94</t>
  </si>
  <si>
    <t>2,9*1,1</t>
  </si>
  <si>
    <t>pozednice 100/100</t>
  </si>
  <si>
    <t>2,3*1,1*4</t>
  </si>
  <si>
    <t>krokve 100/100</t>
  </si>
  <si>
    <t>pozednice 120/120</t>
  </si>
  <si>
    <t>0,1*0,1*13,31</t>
  </si>
  <si>
    <t>0,12*0,12*3,19</t>
  </si>
  <si>
    <t>(0,36+0,9+0,9+0,9+0,17)*2,3</t>
  </si>
  <si>
    <t>0,1*0,1*2,3*1,1*4</t>
  </si>
  <si>
    <t>0,1*0,1*2,9*1,1</t>
  </si>
  <si>
    <t>0,12*0,12*2,9*1,1</t>
  </si>
  <si>
    <t>93,0533</t>
  </si>
  <si>
    <t>2,1*2</t>
  </si>
  <si>
    <t>2,9*2</t>
  </si>
  <si>
    <t>1,8*1</t>
  </si>
  <si>
    <t>1,5*1</t>
  </si>
  <si>
    <t>1,2*5</t>
  </si>
  <si>
    <t>1,1*1</t>
  </si>
  <si>
    <t>1*5</t>
  </si>
  <si>
    <t>0,55*2</t>
  </si>
  <si>
    <t>0,4*1</t>
  </si>
  <si>
    <t>2*6,1</t>
  </si>
  <si>
    <t>4,3</t>
  </si>
  <si>
    <t>3,3+3,1</t>
  </si>
  <si>
    <t>2*2</t>
  </si>
  <si>
    <t>3,2</t>
  </si>
  <si>
    <t>6,3</t>
  </si>
  <si>
    <t>2+6</t>
  </si>
  <si>
    <t>4+7</t>
  </si>
  <si>
    <t>(0,36+0,9*3+0,17)*2,3*1,1</t>
  </si>
  <si>
    <t>vstup do bytu</t>
  </si>
  <si>
    <t>695,235</t>
  </si>
  <si>
    <t>OB14</t>
  </si>
  <si>
    <t>OB7</t>
  </si>
  <si>
    <t>OB10</t>
  </si>
  <si>
    <t>L</t>
  </si>
  <si>
    <t>P</t>
  </si>
  <si>
    <t>3990,0394</t>
  </si>
  <si>
    <t>2,75*2</t>
  </si>
  <si>
    <t>6,53+2,74+1,42</t>
  </si>
  <si>
    <t>3,95+1,2</t>
  </si>
  <si>
    <t>946,0714</t>
  </si>
  <si>
    <t>24,5699</t>
  </si>
  <si>
    <t>370,7909</t>
  </si>
  <si>
    <t>2,5*0,7+0,8*(1,36+2)</t>
  </si>
  <si>
    <t>2,4*(0,9+1,35)*2-0,6*1,97+2,5*(2,9+1,35+0,9+0,25)*2-0,6*1,97-0,8*1,97+1,5*1,2+0,6*(2,94+0,75)</t>
  </si>
  <si>
    <t>42,312</t>
  </si>
  <si>
    <t>;ztratné 15%; 6,3468</t>
  </si>
  <si>
    <t>751,3617</t>
  </si>
  <si>
    <t>1,05*2,02*2</t>
  </si>
  <si>
    <t>(0,064*2+0,120*2+0,0596*2)*1,9*3</t>
  </si>
  <si>
    <t>IPE120</t>
  </si>
  <si>
    <t>(0,055*2+0,1*2+0,0509*2)*1,6*3</t>
  </si>
  <si>
    <t>IPE100</t>
  </si>
  <si>
    <t>(0,046*2+0,08*2+0,0422*2)*(1,3*4+1,2*2)</t>
  </si>
  <si>
    <t>IPE80</t>
  </si>
  <si>
    <t>74,91+75+49,06</t>
  </si>
  <si>
    <t>104,57</t>
  </si>
  <si>
    <t>13,1897*2+16,0955*2+6,48*2</t>
  </si>
  <si>
    <t>176,1004</t>
  </si>
  <si>
    <t>1,0835*2+19,76+0,4*145,91+18,8</t>
  </si>
  <si>
    <t>99,091</t>
  </si>
  <si>
    <t>0,54*1,5</t>
  </si>
  <si>
    <t>263,0725</t>
  </si>
  <si>
    <t>1,6*0,95*2</t>
  </si>
  <si>
    <t>396,0832</t>
  </si>
  <si>
    <t>2/100</t>
  </si>
  <si>
    <t>2*1,8+2,7</t>
  </si>
  <si>
    <t>6,75*2+3*2</t>
  </si>
  <si>
    <t>9,9*3,51</t>
  </si>
  <si>
    <t>(0,16+2,65+0,3+0,96+0,76+1,2+1,25+1,8+5,71+0,16)*4,18+6,115*4,58</t>
  </si>
  <si>
    <t>(21,9+0,16*2)*4,18</t>
  </si>
  <si>
    <t>65,803</t>
  </si>
  <si>
    <t>283,9293*2</t>
  </si>
  <si>
    <t>283,9293</t>
  </si>
  <si>
    <t>30*2</t>
  </si>
  <si>
    <t>0,9</t>
  </si>
  <si>
    <t>1+1+2+1</t>
  </si>
  <si>
    <t>3+1+2+2+3+2+3+3+3+2+2+1+1+1+2</t>
  </si>
  <si>
    <t>1NP</t>
  </si>
  <si>
    <t>0,4*0,55*2+0,55*0,55+0,57*1,5</t>
  </si>
  <si>
    <t>0,93*0,4+0,95*0,65+0,98*0,35</t>
  </si>
  <si>
    <t>1,2*1,3*2+1*1,2+1,2*1,45*3</t>
  </si>
  <si>
    <t>1,8*1,3+1,9*1,65*2+2,3*1,45+2,05*1,45</t>
  </si>
  <si>
    <t>10+10+5+2+4</t>
  </si>
  <si>
    <t>0,84*2</t>
  </si>
  <si>
    <t>0,8*1,97*9+0,6*1,97*8+0,65*1,97*2+0,7*1,97*5</t>
  </si>
  <si>
    <t>0,93*2,24+1,35*1,97*2+1,5*3,1+2</t>
  </si>
  <si>
    <t>2,91*(0,665+0,44+1,1)-1*2</t>
  </si>
  <si>
    <t>2,91*(0,91+0,1+0,9+0,1+0,92+0,1+1,26*3+1,5+1,55)</t>
  </si>
  <si>
    <t>2,91*(2,47+2,16)-0,8*1,97*2</t>
  </si>
  <si>
    <t>3,19*(5,71+0,3+2,64)-0,8*1,97</t>
  </si>
  <si>
    <t>2,91*2,94-0,8*1,97</t>
  </si>
  <si>
    <t>2,91*0,44*0,62</t>
  </si>
  <si>
    <t>(1,5*1,45+0,2*1,9)*0,65</t>
  </si>
  <si>
    <t>0,65*2*0,23+0,65*1,1*1,22+0,65*0,2*2,4</t>
  </si>
  <si>
    <t>0,5*1,2*1,5-0,65*0,4*0,55+0,2*0,5*1,6</t>
  </si>
  <si>
    <t>0,76*0,65*1,45+0,2*1,9*0,65</t>
  </si>
  <si>
    <t>0,88*2*0,35+1,1*0,2*0,35</t>
  </si>
  <si>
    <t>0,3*0,3*1,5</t>
  </si>
  <si>
    <t>pilíř oplocení</t>
  </si>
  <si>
    <t>0,1*3</t>
  </si>
  <si>
    <t>1,34</t>
  </si>
  <si>
    <t>2,4+1,3+1,1</t>
  </si>
  <si>
    <t>voda</t>
  </si>
  <si>
    <t>30,81043+0,0888</t>
  </si>
  <si>
    <t>7,5*1,2*0,1</t>
  </si>
  <si>
    <t>stěna mezi 2.1.8 a 2.2.9</t>
  </si>
  <si>
    <t>1,81053+0,048</t>
  </si>
  <si>
    <t>2,74+6,53+2,4</t>
  </si>
  <si>
    <t>1,15+0,3+1,224+1,35</t>
  </si>
  <si>
    <t>39,27571+0,0888+0,048</t>
  </si>
  <si>
    <t>(39,27571+0,0888+0,048)*20</t>
  </si>
  <si>
    <t>STAVEBNÍ ÚPRAVY OBJEKTU Č.P. 80 SE ZMĚNOU UŽÍVÁNÍ,</t>
  </si>
  <si>
    <t xml:space="preserve">Dodavatel : </t>
  </si>
  <si>
    <t>CETORAZ PARC.Č. ST.89</t>
  </si>
  <si>
    <t>OBEC CETORAZ, CETORAZ 206, 394 11 CETORAZ</t>
  </si>
  <si>
    <t>SOUHRNNÝ VÝKAZ  MATERIÁLU  A  PRACÍ</t>
  </si>
  <si>
    <t>Popis</t>
  </si>
  <si>
    <t>jednotka</t>
  </si>
  <si>
    <t>Jednotka</t>
  </si>
  <si>
    <t>Jed. cena</t>
  </si>
  <si>
    <t>Celk. cena</t>
  </si>
  <si>
    <t>Bytová jednotka</t>
  </si>
  <si>
    <t>napojení na stávající trubní systém</t>
  </si>
  <si>
    <t>POTRUBÍ :</t>
  </si>
  <si>
    <t>Potrubí měděné - pájené na měkko nebo lisované</t>
  </si>
  <si>
    <t>22x1</t>
  </si>
  <si>
    <t>TEPELNÉ IZOLACE :</t>
  </si>
  <si>
    <t>Izolace návleková</t>
  </si>
  <si>
    <t>22 x 19</t>
  </si>
  <si>
    <t>ZÁMEČNICKÉ  KONSTRUKCE :</t>
  </si>
  <si>
    <t>Doplňkové konstrukce pro uložení potrubí</t>
  </si>
  <si>
    <t>tyč pr. 8 mm</t>
  </si>
  <si>
    <t xml:space="preserve">Objímky </t>
  </si>
  <si>
    <t>ks</t>
  </si>
  <si>
    <t>HZS :</t>
  </si>
  <si>
    <t>Napouštění otopné soustavy</t>
  </si>
  <si>
    <t>Tlaková zkouška</t>
  </si>
  <si>
    <t>Topná zkouška + zaregulování systému</t>
  </si>
  <si>
    <t>hod</t>
  </si>
  <si>
    <t>Stavební přípomoce - zhotovení prostupů pro potrubí</t>
  </si>
  <si>
    <t>731004V</t>
  </si>
  <si>
    <t>Výchozí revize zařízení</t>
  </si>
  <si>
    <t>soub</t>
  </si>
  <si>
    <t>9987331V</t>
  </si>
  <si>
    <t>Přesun hmot v objektech</t>
  </si>
  <si>
    <t>CELKEM bez DPH</t>
  </si>
  <si>
    <t>Kancelář 1</t>
  </si>
  <si>
    <t xml:space="preserve">OTOPNÁ TĚLESA </t>
  </si>
  <si>
    <t>Deskové otopné těleso se spodním pravým připojením - typ VK</t>
  </si>
  <si>
    <t>735151666V</t>
  </si>
  <si>
    <t>11-600x1000</t>
  </si>
  <si>
    <t>735151867V</t>
  </si>
  <si>
    <t>22-600x1100</t>
  </si>
  <si>
    <t>22-600x1400</t>
  </si>
  <si>
    <t>735010V</t>
  </si>
  <si>
    <t>Trubkové kouplenové otopné těleso se středovým připojením 1820x750</t>
  </si>
  <si>
    <t>735011V</t>
  </si>
  <si>
    <t>El.sada pro kombinované vytápění vč.regulace, 400W</t>
  </si>
  <si>
    <t>ARMATURY :</t>
  </si>
  <si>
    <t>Radátorové H-šroubení - rohové</t>
  </si>
  <si>
    <t>Termostatické hlavice na VK otopná tělesa</t>
  </si>
  <si>
    <t>735012V</t>
  </si>
  <si>
    <t>Sada pro napojení Ot se středovým připojením vč. TRM hlavice</t>
  </si>
  <si>
    <t>15x1</t>
  </si>
  <si>
    <t>18x1</t>
  </si>
  <si>
    <t>28x1</t>
  </si>
  <si>
    <t>15 x 6</t>
  </si>
  <si>
    <t>18 x 6</t>
  </si>
  <si>
    <t>28 x 19</t>
  </si>
  <si>
    <t>731001V</t>
  </si>
  <si>
    <t>73319021V</t>
  </si>
  <si>
    <t>22261913V</t>
  </si>
  <si>
    <t>731002V</t>
  </si>
  <si>
    <t>Stavební přípomoce - sekání nik pro potrubí</t>
  </si>
  <si>
    <t>731003V</t>
  </si>
  <si>
    <t>Kancelář 2</t>
  </si>
  <si>
    <t>735151663V</t>
  </si>
  <si>
    <t>11-600x700</t>
  </si>
  <si>
    <t>735151861V</t>
  </si>
  <si>
    <t>22-600x500</t>
  </si>
  <si>
    <t>735151770V</t>
  </si>
  <si>
    <t>21-600x1600</t>
  </si>
  <si>
    <t>735151886V</t>
  </si>
  <si>
    <t>22-600x1000</t>
  </si>
  <si>
    <t>735151868V</t>
  </si>
  <si>
    <t>22-600x1200</t>
  </si>
  <si>
    <t>735151869V</t>
  </si>
  <si>
    <t>&gt;&gt;  skryté sloupce  &lt;&lt;</t>
  </si>
  <si>
    <t>{bb0f178b-8dbd-49b6-8366-de31d7476d21}</t>
  </si>
  <si>
    <t>KRYCÍ LIST SOUPISU PRACÍ</t>
  </si>
  <si>
    <t>v ---  níže se nacházejí doplnkové a pomocné údaje k sestavám  --- v</t>
  </si>
  <si>
    <t>False</t>
  </si>
  <si>
    <t>Stavba:</t>
  </si>
  <si>
    <t>STAVEBNÍ ÚPRAVY OBJEKTU Č.P. 80 SE ZMĚNOU UŽÍVÁNÍ,CETORAZ PARC.Č. ST.89-byty, kanceláře</t>
  </si>
  <si>
    <t>KSO:</t>
  </si>
  <si>
    <t>CC-CZ:</t>
  </si>
  <si>
    <t>Místo:</t>
  </si>
  <si>
    <t>Zadavatel:</t>
  </si>
  <si>
    <t>IČ:</t>
  </si>
  <si>
    <t>DIČ:</t>
  </si>
  <si>
    <t>Uchazeč:</t>
  </si>
  <si>
    <t>Zpracovatel: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</si>
  <si>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</si>
  <si>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</si>
  <si>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</si>
  <si>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</si>
  <si>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</si>
  <si>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</si>
  <si>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</si>
  <si>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</si>
  <si>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</si>
  <si>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</si>
  <si>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</si>
  <si>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</si>
  <si>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</si>
  <si>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Zpracovatel</t>
  </si>
  <si>
    <t>Datum a podpis:</t>
  </si>
  <si>
    <t>Razítko</t>
  </si>
  <si>
    <t>Objednavatel</t>
  </si>
  <si>
    <t>Uchazeč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</si>
  <si>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</si>
  <si>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</si>
  <si>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</si>
  <si>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</si>
  <si>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</si>
  <si>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</si>
  <si>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740 - Elektromontáže - zkoušky a revize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</si>
  <si>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</si>
  <si>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</si>
  <si>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</si>
  <si>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744 - Elektromontáže - rozvody vodičů měděných</t>
  </si>
  <si>
    <t xml:space="preserve">    747 - Elektromontáže - kompletace rozvodů</t>
  </si>
  <si>
    <t xml:space="preserve">    749 - Elektromontáže - ostatní práce a konstrukce</t>
  </si>
  <si>
    <t>M - Práce a dodávky M</t>
  </si>
  <si>
    <t xml:space="preserve">    21-M - Elektromontáže</t>
  </si>
  <si>
    <t>HZS - Hodinové zúčtovací sazby</t>
  </si>
  <si>
    <t xml:space="preserve">    22-M - Montáže slaboproud</t>
  </si>
  <si>
    <t xml:space="preserve">    36-M - Montáž prov.,měř. a regul. zařízení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</si>
  <si>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</si>
  <si>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</si>
  <si>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</si>
  <si>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</si>
  <si>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</si>
  <si>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</si>
  <si>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</si>
  <si>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Typ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</si>
  <si>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</si>
  <si>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</si>
  <si>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</si>
  <si>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</si>
  <si>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</si>
  <si>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</si>
  <si>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</si>
  <si>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</si>
  <si>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</si>
  <si>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</si>
  <si>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Práce a dodávky PSV</t>
  </si>
  <si>
    <t>0</t>
  </si>
  <si>
    <t>ROZPOCET</t>
  </si>
  <si>
    <t>740</t>
  </si>
  <si>
    <t>Elektromontáže - zkoušky a revize</t>
  </si>
  <si>
    <t>M</t>
  </si>
  <si>
    <t>Poplatek za hlavní jistič před elektroměrem  20A - 630Kč á 1A/</t>
  </si>
  <si>
    <t>1780704230</t>
  </si>
  <si>
    <t>741</t>
  </si>
  <si>
    <t>Elektroinstalace - silnoproud</t>
  </si>
  <si>
    <t>K</t>
  </si>
  <si>
    <t>741112001</t>
  </si>
  <si>
    <t>Montáž krabice zapuštěná plastová kruhová</t>
  </si>
  <si>
    <t>-838248606</t>
  </si>
  <si>
    <t>345715230</t>
  </si>
  <si>
    <t>krabice přístrojová odbočná s víčkem z PH KO97/5</t>
  </si>
  <si>
    <t>2033409121</t>
  </si>
  <si>
    <t>741130001</t>
  </si>
  <si>
    <t>Ukončení vodič izolovaný do 2,5mm2 v rozváděči nebo na přístroji</t>
  </si>
  <si>
    <t>-1557791201</t>
  </si>
  <si>
    <t>741130003</t>
  </si>
  <si>
    <t>Ukončení vodič izolovaný do 4 mm2 v rozváděči nebo na přístroji</t>
  </si>
  <si>
    <t>1340620483</t>
  </si>
  <si>
    <t>741130005</t>
  </si>
  <si>
    <t>Ukončení vodič izolovaný do 10 mm2 v rozváděči nebo na přístroji</t>
  </si>
  <si>
    <t>849026903</t>
  </si>
  <si>
    <t>741130007</t>
  </si>
  <si>
    <t>Ukončení vodič izolovaný do 25 mm2 v rozváděči nebo na přístroji</t>
  </si>
  <si>
    <t>-242748618</t>
  </si>
  <si>
    <t>741372022</t>
  </si>
  <si>
    <t>Montáž svítidlo LED bytové přisazené nástěnné panelové do 0,36 m2</t>
  </si>
  <si>
    <t>-1522678478</t>
  </si>
  <si>
    <t>503402912.1</t>
  </si>
  <si>
    <t>Svítidla 1.pp, chodby, společné prostory LED/18W/230V 4000K pr. 260 mm, cenu upřesnit podle výběru investora nebo architekta</t>
  </si>
  <si>
    <t>1948439139</t>
  </si>
  <si>
    <t>925496367</t>
  </si>
  <si>
    <t>50340291</t>
  </si>
  <si>
    <t>Bytové svítidla, cena svítidel pouze orientační, cenu upřesnit podle výběru investora nebo architekta</t>
  </si>
  <si>
    <t>-1863579833</t>
  </si>
  <si>
    <t>741372022.2</t>
  </si>
  <si>
    <t>2101927852</t>
  </si>
  <si>
    <t>000008</t>
  </si>
  <si>
    <t>Svítidlo venkovní IP44, 15W, cena svítidel pouze orientační, cenu upřesnit podle výběru investora nebo architekta</t>
  </si>
  <si>
    <t>KS</t>
  </si>
  <si>
    <t>1335885322</t>
  </si>
  <si>
    <t>741372022.2.2</t>
  </si>
  <si>
    <t>142862767</t>
  </si>
  <si>
    <t>000008.1</t>
  </si>
  <si>
    <t>Svítidlo půda IP44, 15W, cena svítidel pouze orientační, cenu upřesnit podle výběru investora nebo architekta</t>
  </si>
  <si>
    <t>-1060441022</t>
  </si>
  <si>
    <t>741372022.2.3</t>
  </si>
  <si>
    <t>-754697267</t>
  </si>
  <si>
    <t>000007</t>
  </si>
  <si>
    <t>Svítidlo venkovní IP44 s pohybovým čidlem, 15W, cena svítidel pouze orientační, cenu upřesnit podle výběru investora nebo architekta</t>
  </si>
  <si>
    <t>1125781039</t>
  </si>
  <si>
    <t>741372062.1</t>
  </si>
  <si>
    <t>Montáž svítidlo LED bytové přisazené stropní panelové do 0,36 m2</t>
  </si>
  <si>
    <t>-2072092990</t>
  </si>
  <si>
    <t>10.021.2403.1</t>
  </si>
  <si>
    <t>-1638525420</t>
  </si>
  <si>
    <t>741810003</t>
  </si>
  <si>
    <t>Celková prohlídka elektrického rozvodu a zařízení přes 0,5 do 1 milionu Kč</t>
  </si>
  <si>
    <t>-1262947213</t>
  </si>
  <si>
    <t>741810011</t>
  </si>
  <si>
    <t>Příplatek k celkové prohlídce za každých dalších 500 000,- Kč</t>
  </si>
  <si>
    <t>-603088486</t>
  </si>
  <si>
    <t>748121112</t>
  </si>
  <si>
    <t>Montáž svítidlo zářivkové bytové stropní přisazené 1 zdroj s krytem</t>
  </si>
  <si>
    <t>1952916238</t>
  </si>
  <si>
    <t>348121120</t>
  </si>
  <si>
    <t>svítidlo LED nástěnné s vypínačem 1x18W, IP20, svítidlo pod linku včetně zdrojů</t>
  </si>
  <si>
    <t>893493715</t>
  </si>
  <si>
    <t>742</t>
  </si>
  <si>
    <t>Elektromontáže - rozvodný systém</t>
  </si>
  <si>
    <t>10.044.057</t>
  </si>
  <si>
    <t>Sádra balená á 30 kg</t>
  </si>
  <si>
    <t>-314073788</t>
  </si>
  <si>
    <t>742111100</t>
  </si>
  <si>
    <t>Montáž rozvodnice oceloplechová nebo plastová běžná do 20 kg</t>
  </si>
  <si>
    <t>505775428</t>
  </si>
  <si>
    <t>10.052.8254</t>
  </si>
  <si>
    <t>Rozvaděč RK1 - kompletní včetně zapojení</t>
  </si>
  <si>
    <t>-598400903</t>
  </si>
  <si>
    <t>10.052.8252</t>
  </si>
  <si>
    <t>Rozvaděč RK2 - kompletní včetně zapojení</t>
  </si>
  <si>
    <t>753553934</t>
  </si>
  <si>
    <t>10.052.8253</t>
  </si>
  <si>
    <t>Rozvaděč RB - kompletní včetně zapojení</t>
  </si>
  <si>
    <t>985467961</t>
  </si>
  <si>
    <t>10.052.8257</t>
  </si>
  <si>
    <t>Rozvaděč RS - kompletní včetně zapojení</t>
  </si>
  <si>
    <t>-1431495467</t>
  </si>
  <si>
    <t>Pol157</t>
  </si>
  <si>
    <t>Rozvodná skříň MIS 1b  vč. zámku FAB</t>
  </si>
  <si>
    <t>-1553988912</t>
  </si>
  <si>
    <t>742111200</t>
  </si>
  <si>
    <t>Montáž rozvodnice oceloplechová nebo plastová běžná do 50 kg</t>
  </si>
  <si>
    <t>1101246582</t>
  </si>
  <si>
    <t>357116460.8</t>
  </si>
  <si>
    <t>Elektroměrový rozvaděč 6x 3f elektroměr, 6x HDO, 1x25A/3/B, 3x20A/3/B, kompletní</t>
  </si>
  <si>
    <t>-332175459</t>
  </si>
  <si>
    <t>742210121</t>
  </si>
  <si>
    <t>Montáž hlásiče automatického bodového</t>
  </si>
  <si>
    <t>-285684521</t>
  </si>
  <si>
    <t>345123005</t>
  </si>
  <si>
    <t>Autonomní hlásič kouře SD-728-I</t>
  </si>
  <si>
    <t>-1162314255</t>
  </si>
  <si>
    <t>743</t>
  </si>
  <si>
    <t>Elektromontáže - hrubá montáž</t>
  </si>
  <si>
    <t>743111315</t>
  </si>
  <si>
    <t>Montáž trubka plastová tuhá D 23 mm uložená pod omítku</t>
  </si>
  <si>
    <t>-1572205764</t>
  </si>
  <si>
    <t>345711540</t>
  </si>
  <si>
    <t>trubka elektroinstalační ohebná Monoflex z PH 1423/1</t>
  </si>
  <si>
    <t>-1767890853</t>
  </si>
  <si>
    <t>743112219.1</t>
  </si>
  <si>
    <t>Montáž trubka plastová ohebná D 48 mm uložená volně</t>
  </si>
  <si>
    <t>2012539317</t>
  </si>
  <si>
    <t>10.153.147.1</t>
  </si>
  <si>
    <t>Trubka KF 09040 EA</t>
  </si>
  <si>
    <t>993732409</t>
  </si>
  <si>
    <t>743411111</t>
  </si>
  <si>
    <t>Montáž krabice zapuštěná plastová kruhová typ KU68/2-1902, KO125</t>
  </si>
  <si>
    <t>1978195104</t>
  </si>
  <si>
    <t>10.079.363</t>
  </si>
  <si>
    <t>Krabice KU 68-1902</t>
  </si>
  <si>
    <t>794717102</t>
  </si>
  <si>
    <t>743411111.1</t>
  </si>
  <si>
    <t>197121693</t>
  </si>
  <si>
    <t>10.079.364</t>
  </si>
  <si>
    <t>Podomítková krabice KPR 68-70 přístrojová hluboká</t>
  </si>
  <si>
    <t>1498272112</t>
  </si>
  <si>
    <t>743411121</t>
  </si>
  <si>
    <t>Montáž krabice zapuštěná plastová čtyřhranná typ KO100, KO125</t>
  </si>
  <si>
    <t>-1570874962</t>
  </si>
  <si>
    <t>10.075.335</t>
  </si>
  <si>
    <t>Svorkovnice EPS 2 ekvipotencionální s krabicí</t>
  </si>
  <si>
    <t>-1280280232</t>
  </si>
  <si>
    <t>743411311</t>
  </si>
  <si>
    <t>Montáž krabice nástěnná plastová kruhová typ KU68/2-1902, KO97</t>
  </si>
  <si>
    <t>-297789136</t>
  </si>
  <si>
    <t>10.074.803</t>
  </si>
  <si>
    <t>Krabice KU 68-1903</t>
  </si>
  <si>
    <t>-2082995126</t>
  </si>
  <si>
    <t>743414121</t>
  </si>
  <si>
    <t>Montáž rozvodka zapuštěná plastová čtyřhranná typ KR100, KR125</t>
  </si>
  <si>
    <t>-1496886457</t>
  </si>
  <si>
    <t>345715440</t>
  </si>
  <si>
    <t>skříň rozvodná KT 125</t>
  </si>
  <si>
    <t>-1183834828</t>
  </si>
  <si>
    <t>743419130</t>
  </si>
  <si>
    <t>Otevření nebo uzavření krabice víčkem na 4 šrouby</t>
  </si>
  <si>
    <t>-1452740408</t>
  </si>
  <si>
    <t>743991100</t>
  </si>
  <si>
    <t>Měření zemních odporů zemniče</t>
  </si>
  <si>
    <t>1435069232</t>
  </si>
  <si>
    <t>744</t>
  </si>
  <si>
    <t>Elektromontáže - rozvody vodičů měděných</t>
  </si>
  <si>
    <t>744731110</t>
  </si>
  <si>
    <t>Montáž kabel Cu sdělovací sk.1 2-19x1 mm umístěný volně</t>
  </si>
  <si>
    <t>1780940703</t>
  </si>
  <si>
    <t>341215560</t>
  </si>
  <si>
    <t>kabel sdělovací JYTY Al laminovanou fólií 4x1 mm</t>
  </si>
  <si>
    <t>917440803</t>
  </si>
  <si>
    <t>747</t>
  </si>
  <si>
    <t>Elektromontáže - kompletace rozvodů</t>
  </si>
  <si>
    <t>747131400</t>
  </si>
  <si>
    <t>Montáž přípojka sporáková s doutnavkou se zapojením vodičů</t>
  </si>
  <si>
    <t>-32815762</t>
  </si>
  <si>
    <t>10.027.402</t>
  </si>
  <si>
    <t>Kombinace 3425A-0344 S2 sporáková</t>
  </si>
  <si>
    <t>-1325537478</t>
  </si>
  <si>
    <t>747512112</t>
  </si>
  <si>
    <t>Montáž domácí telefonní tablo se zapojením vodičů</t>
  </si>
  <si>
    <t>534931004</t>
  </si>
  <si>
    <t>374141350</t>
  </si>
  <si>
    <t>zvonek bytový SB 4FN 605 19</t>
  </si>
  <si>
    <t>-1282792299</t>
  </si>
  <si>
    <t>749</t>
  </si>
  <si>
    <t>Elektromontáže - ostatní práce a konstrukce</t>
  </si>
  <si>
    <t>741990041</t>
  </si>
  <si>
    <t>Montáž tabulka výstražná a označovací pro rozvodny</t>
  </si>
  <si>
    <t>-1697692937</t>
  </si>
  <si>
    <t>4321001.1.1</t>
  </si>
  <si>
    <t>Bezpečnostní tabulka - Elektrický rozvaděč Nehas vodou ani pěnovými přístroji</t>
  </si>
  <si>
    <t>-993885723</t>
  </si>
  <si>
    <t>Práce a dodávky M</t>
  </si>
  <si>
    <t>21-M</t>
  </si>
  <si>
    <t>000002.1</t>
  </si>
  <si>
    <t>Protipožární sáček PS 750</t>
  </si>
  <si>
    <t>1280241579</t>
  </si>
  <si>
    <t>210010351</t>
  </si>
  <si>
    <t>Montáž rozvodek nástěnných plastových čtyřhranných ACIDUR vodič D do 4 mm2</t>
  </si>
  <si>
    <t>-1903323586</t>
  </si>
  <si>
    <t>10.078.068</t>
  </si>
  <si>
    <t>Krabice SCAME 855 IP67 acidur</t>
  </si>
  <si>
    <t>-353704077</t>
  </si>
  <si>
    <t>210100014</t>
  </si>
  <si>
    <t>Připojení bojler</t>
  </si>
  <si>
    <t>-1165960043</t>
  </si>
  <si>
    <t>210100016.1</t>
  </si>
  <si>
    <t>Připojení ventilátorů</t>
  </si>
  <si>
    <t>1441685520</t>
  </si>
  <si>
    <t>10.902.152.1</t>
  </si>
  <si>
    <t>100 MTK Ventilátory domovní axiální s doběhem</t>
  </si>
  <si>
    <t>1930876064</t>
  </si>
  <si>
    <t>210100016.2</t>
  </si>
  <si>
    <t>Připojení rozvaděče MaR</t>
  </si>
  <si>
    <t>-1046970252</t>
  </si>
  <si>
    <t>210100017.1.1</t>
  </si>
  <si>
    <t>Připojení technologie v technické místnosti</t>
  </si>
  <si>
    <t>2083675093</t>
  </si>
  <si>
    <t>210110001</t>
  </si>
  <si>
    <t>Montáž nástěnný vypínač nn jednopólový pro prostředí základní nebo vlhké</t>
  </si>
  <si>
    <t>692263336</t>
  </si>
  <si>
    <t>10.555.033</t>
  </si>
  <si>
    <t>Spínač č.1, č.6 IP44</t>
  </si>
  <si>
    <t>116761817</t>
  </si>
  <si>
    <t>210110031</t>
  </si>
  <si>
    <t>Montáž zapuštěný vypínač nn jednopólový bezšroubové připojení</t>
  </si>
  <si>
    <t>-1483285496</t>
  </si>
  <si>
    <t>345355150</t>
  </si>
  <si>
    <t>spínač jednopólový 10A bílý, slonová kost</t>
  </si>
  <si>
    <t>-1366636996</t>
  </si>
  <si>
    <t>210110039</t>
  </si>
  <si>
    <t>Montáž zapuštěný přepínač nn 7-křížový bezšroubové připojení</t>
  </si>
  <si>
    <t>-268063836</t>
  </si>
  <si>
    <t>345357130</t>
  </si>
  <si>
    <t>spínač řazení 7 10A bílý, slonová kost</t>
  </si>
  <si>
    <t>729784785</t>
  </si>
  <si>
    <t>210110043</t>
  </si>
  <si>
    <t>Montáž zapuštěný přepínač nn 5-sériový šroubové připojení</t>
  </si>
  <si>
    <t>704320590</t>
  </si>
  <si>
    <t>345355750452</t>
  </si>
  <si>
    <t>spínač řazení 5 10A  bílý</t>
  </si>
  <si>
    <t>-290305902</t>
  </si>
  <si>
    <t>210110045</t>
  </si>
  <si>
    <t>Montáž zapuštěný přepínač nn 6-střídavý šroubové připojení</t>
  </si>
  <si>
    <t>1673161623</t>
  </si>
  <si>
    <t>345355550</t>
  </si>
  <si>
    <t>spínač řazení 6 10A bílý, slonová kost</t>
  </si>
  <si>
    <t>-45515613</t>
  </si>
  <si>
    <t>210110142</t>
  </si>
  <si>
    <t>Montáž ovladač nn 1/0 -tlačítkový zapínací bezšroubové připojení</t>
  </si>
  <si>
    <t>1952085235</t>
  </si>
  <si>
    <t>10.706.950.1.1</t>
  </si>
  <si>
    <t>412104 Tlačítko řazení 1/0, čistě bílá</t>
  </si>
  <si>
    <t>-1571939310</t>
  </si>
  <si>
    <t>-697895870</t>
  </si>
  <si>
    <t>10.706.950.2</t>
  </si>
  <si>
    <t>412104 Tlačítko řazení 1/0, čistě bílá - zvonek vč. popisovacího pole</t>
  </si>
  <si>
    <t>1947754828</t>
  </si>
  <si>
    <t>210111002</t>
  </si>
  <si>
    <t>Montáž zásuvka vestavná šroubové připojení 2P+PE se zapojením vodičů</t>
  </si>
  <si>
    <t>1521812812</t>
  </si>
  <si>
    <t>345551030</t>
  </si>
  <si>
    <t>zásuvka 1násobná 16A bílý, slonová kost</t>
  </si>
  <si>
    <t>1877683891</t>
  </si>
  <si>
    <t>345626930</t>
  </si>
  <si>
    <t>svorkovnice krabicová bezšroubová TYP017, 400 V, 2 vstupy, 2,5 mm2, 24 A</t>
  </si>
  <si>
    <t>-1981547252</t>
  </si>
  <si>
    <t>345626940</t>
  </si>
  <si>
    <t>svorkovnice krabicová bezšroubová TYP016, 400 V, 3 vstupy, 2,5 mm2, 24 A</t>
  </si>
  <si>
    <t>-503544237</t>
  </si>
  <si>
    <t>345626950</t>
  </si>
  <si>
    <t>svorkovnice krabicová bezšroubová TYP018, 400 V, 4 vstupy, 2,5 mm2, 24 A</t>
  </si>
  <si>
    <t>117506917</t>
  </si>
  <si>
    <t>345626960</t>
  </si>
  <si>
    <t>svorkovnice krabicová bezšroubová TYP015, 400 V, 5 vstupů, 2,5 mm2, 24 A</t>
  </si>
  <si>
    <t>1257947269</t>
  </si>
  <si>
    <t>210111131.1</t>
  </si>
  <si>
    <t>Montáž zásuvek průmyslových nástěnných provedení IP 44 2P+PE 16 A</t>
  </si>
  <si>
    <t>1404087905</t>
  </si>
  <si>
    <t>10.028.726</t>
  </si>
  <si>
    <t>Zásuvka 230V IP44 bílá</t>
  </si>
  <si>
    <t>1363269078</t>
  </si>
  <si>
    <t>210140532.1</t>
  </si>
  <si>
    <t>Montáž termostatu</t>
  </si>
  <si>
    <t>1095590729</t>
  </si>
  <si>
    <t>10.027.213.1</t>
  </si>
  <si>
    <t>TERMOSTAT nástěnný programovatelný</t>
  </si>
  <si>
    <t>-86218466</t>
  </si>
  <si>
    <t>210160011.1</t>
  </si>
  <si>
    <t>Montáž spínačů časových</t>
  </si>
  <si>
    <t>-2136613368</t>
  </si>
  <si>
    <t>61100009.1</t>
  </si>
  <si>
    <t>DOBEHOVE RELE DT3</t>
  </si>
  <si>
    <t>274990896</t>
  </si>
  <si>
    <t>210220002</t>
  </si>
  <si>
    <t>Montáž uzemňovacích vedení vodičů FeZn pomocí svorek na povrchu drátem nebo lanem do 10 mm</t>
  </si>
  <si>
    <t>1762229148</t>
  </si>
  <si>
    <t>210220321</t>
  </si>
  <si>
    <t>Montáž svorek hromosvodných na potrubí typ Bernard se zhotovením pásku</t>
  </si>
  <si>
    <t>-1342440487</t>
  </si>
  <si>
    <t>68500165</t>
  </si>
  <si>
    <t>SVORKA ST NA POTRUBI</t>
  </si>
  <si>
    <t>-1499134621</t>
  </si>
  <si>
    <t>210220451</t>
  </si>
  <si>
    <t>Montáž vedení hromosvodné - ochranného pospojování volně nebo pod omítku</t>
  </si>
  <si>
    <t>469407375</t>
  </si>
  <si>
    <t>10180161</t>
  </si>
  <si>
    <t>VODIC CYY 6 ZELENOZLUTY</t>
  </si>
  <si>
    <t>278718153</t>
  </si>
  <si>
    <t>-1051727181</t>
  </si>
  <si>
    <t>10180202</t>
  </si>
  <si>
    <t>VODIC CYY 4 ZELENOZLUTY</t>
  </si>
  <si>
    <t>1936534406</t>
  </si>
  <si>
    <t>2129259784</t>
  </si>
  <si>
    <t>10100175</t>
  </si>
  <si>
    <t>VODIC CYY 2,5 ZELENOZLUTA</t>
  </si>
  <si>
    <t>-1493648700</t>
  </si>
  <si>
    <t>210220451.1</t>
  </si>
  <si>
    <t>1444474655</t>
  </si>
  <si>
    <t>341421600.1</t>
  </si>
  <si>
    <t>CYA 25 ZŽ Vodič H07V-K 25 ohebný zelenožlutý</t>
  </si>
  <si>
    <t>935619156</t>
  </si>
  <si>
    <t>210800007</t>
  </si>
  <si>
    <t>Montáž měděných vodičů CYY, CMA, CY, CYA, HO5V, HO7V 25 až 35 mm2 pod omítku ve stěně</t>
  </si>
  <si>
    <t>239699268</t>
  </si>
  <si>
    <t>3411162001.1</t>
  </si>
  <si>
    <t>kabel silový s Cu jádrem 1-CYKY 4x35 mm2 - změřit na stavbě</t>
  </si>
  <si>
    <t>-203996914</t>
  </si>
  <si>
    <t>210802024</t>
  </si>
  <si>
    <t>Montáž měděných šňůr lehkých AO3VV,AO5,CGLG,CGLU,CMSM,CYLY,HO5 do 1 kV do 1,6 kg uložených volně</t>
  </si>
  <si>
    <t>-1849865030</t>
  </si>
  <si>
    <t>341432880</t>
  </si>
  <si>
    <t>Kabel H05VV-F, CYSY, 3x2,5 mm2, ohebný, bílý</t>
  </si>
  <si>
    <t>-196666883</t>
  </si>
  <si>
    <t>210802109</t>
  </si>
  <si>
    <t>Montáž měděných vodičů CMSM, CMFM, A03VV, AO5, CGLU, CYH, CYLY, HO3VV, HO5 3x1,5 mm2 volně</t>
  </si>
  <si>
    <t>2049179470</t>
  </si>
  <si>
    <t>341431760</t>
  </si>
  <si>
    <t>Vodič H05VV-F 3Gx1,5 (CYSY) bílá</t>
  </si>
  <si>
    <t>-1073309317</t>
  </si>
  <si>
    <t>210802319</t>
  </si>
  <si>
    <t>Montáž měděných vodičů CYSY, HO5-F, HO5 VVH2-F, HO7RN do 1 kV 5x2,50 mm2 uložených volně</t>
  </si>
  <si>
    <t>-1144969576</t>
  </si>
  <si>
    <t>3414379001</t>
  </si>
  <si>
    <t>Kabel H05VV-F, CYSY, 5x2,5 mm2, ohebný, bílý</t>
  </si>
  <si>
    <t>508557409</t>
  </si>
  <si>
    <t>210810013.1</t>
  </si>
  <si>
    <t>Montáž měděných kabelů CYKY, CYKYD, CYKYDY, NYM, NYY, YSLY 750 V 4x10mm2 uložených volně</t>
  </si>
  <si>
    <t>233817785</t>
  </si>
  <si>
    <t>10.048.218.1</t>
  </si>
  <si>
    <t>CYKY 4J10 (4Bx10)-změřit na stavbě</t>
  </si>
  <si>
    <t>1242187911</t>
  </si>
  <si>
    <t>210810015</t>
  </si>
  <si>
    <t>Montáž měděných kabelů CYKY, CYKYD, CYKYDY, NYM, NYY, YSLY 750 V 5x1,5 mm2 uložených volně</t>
  </si>
  <si>
    <t>-207764985</t>
  </si>
  <si>
    <t>341110900</t>
  </si>
  <si>
    <t>kabel silový s Cu jádrem CYKY 5x1,5 mm2</t>
  </si>
  <si>
    <t>-447117161</t>
  </si>
  <si>
    <t>210810045</t>
  </si>
  <si>
    <t>Montáž měděných kabelů CYKY, CYKYD, CYKYDY, NYM, NYY, YSLY 750 V 3x1,5 mm2 uložených pevně</t>
  </si>
  <si>
    <t>1616861701</t>
  </si>
  <si>
    <t>341110300</t>
  </si>
  <si>
    <t>kabel silový s Cu jádrem CYKY 3x1,5 mm2</t>
  </si>
  <si>
    <t>1280180650</t>
  </si>
  <si>
    <t>210810046</t>
  </si>
  <si>
    <t>Montáž měděných kabelů CYKY, CYKYD, CYKYDY, NYM, NYY, YSLY 750 V 3x2,5 mm2 uložených pevně</t>
  </si>
  <si>
    <t>-375690973</t>
  </si>
  <si>
    <t>341110360</t>
  </si>
  <si>
    <t>kabel silový s Cu jádrem CYKY 3x2,5 mm2</t>
  </si>
  <si>
    <t>-776021081</t>
  </si>
  <si>
    <t>210810049</t>
  </si>
  <si>
    <t>Montáž měděných kabelů CYKY, CYKYD, CYKYDY, NYM, NYY, YSLY 750 V 4x1,5 mm2 uložených pevně</t>
  </si>
  <si>
    <t>-789497955</t>
  </si>
  <si>
    <t>341110600</t>
  </si>
  <si>
    <t>kabel silový s Cu jádrem CYKY 4x1,5 mm2</t>
  </si>
  <si>
    <t>6428452</t>
  </si>
  <si>
    <t>210810056</t>
  </si>
  <si>
    <t>Montáž měděných kabelů CYKY, CYKYD, CYKYDY, NYM, NYY, YSLY 750 V 5x2,5 mm2 uložených pevně</t>
  </si>
  <si>
    <t>-1700483193</t>
  </si>
  <si>
    <t>341110940</t>
  </si>
  <si>
    <t>kabel silový s Cu jádrem CYKY 5x2,5 mm2</t>
  </si>
  <si>
    <t>924584157</t>
  </si>
  <si>
    <t>210810057</t>
  </si>
  <si>
    <t>Montáž měděných kabelů CYKY, CYKYD, CYKYDY, NYM, NYY, YSLY 750 V 5x4 mm2 uložených pevně</t>
  </si>
  <si>
    <t>-1744423754</t>
  </si>
  <si>
    <t>341110980</t>
  </si>
  <si>
    <t>kabel silový s Cu jádrem CYKY 5x4 mm2</t>
  </si>
  <si>
    <t>795654602</t>
  </si>
  <si>
    <t>PD</t>
  </si>
  <si>
    <t>Přesun dodávek</t>
  </si>
  <si>
    <t>-1825225213</t>
  </si>
  <si>
    <t>PM</t>
  </si>
  <si>
    <t>Přidružený materiál</t>
  </si>
  <si>
    <t>1837380044</t>
  </si>
  <si>
    <t>PPV</t>
  </si>
  <si>
    <t>Podíl přidružených výkonů</t>
  </si>
  <si>
    <t>-897673218</t>
  </si>
  <si>
    <t>ZV</t>
  </si>
  <si>
    <t>Zednické výpomoci</t>
  </si>
  <si>
    <t>-237227286</t>
  </si>
  <si>
    <t>HZS</t>
  </si>
  <si>
    <t>Hodinové zúčtovací sazby</t>
  </si>
  <si>
    <t>50001</t>
  </si>
  <si>
    <t>Likvidace stávající elektroinstalace</t>
  </si>
  <si>
    <t>512</t>
  </si>
  <si>
    <t>-1445331159</t>
  </si>
  <si>
    <t>HZS2221</t>
  </si>
  <si>
    <t>Hodinová zúčtovací sazba elektrikář - demontáž stávající elektroinstalace (kabely, světla)</t>
  </si>
  <si>
    <t>-1939154740</t>
  </si>
  <si>
    <t>HZS2222</t>
  </si>
  <si>
    <t>Hodinová zúčtovací sazba elektrikář - připojení na stávající elektroinstalaci</t>
  </si>
  <si>
    <t>224034617</t>
  </si>
  <si>
    <t>22-M</t>
  </si>
  <si>
    <t>Montáže slaboproud</t>
  </si>
  <si>
    <t>220270243</t>
  </si>
  <si>
    <t>Montáž UTP, FTP kabelu Cat.5e</t>
  </si>
  <si>
    <t>1070427470</t>
  </si>
  <si>
    <t>10.049.551</t>
  </si>
  <si>
    <t>UTP 4x2x0,5 cat.5e bal.305m</t>
  </si>
  <si>
    <t>505391206</t>
  </si>
  <si>
    <t>220270243.1</t>
  </si>
  <si>
    <t>1212641405</t>
  </si>
  <si>
    <t>45561201</t>
  </si>
  <si>
    <t>Kabel venkovní UTP, cat.5e, drát, 4x2xAWG23,plášť PE + PVC, černý</t>
  </si>
  <si>
    <t>-722772006</t>
  </si>
  <si>
    <t>220280221</t>
  </si>
  <si>
    <t>Montáž kabely bytové uložené  v trubkách nebo lištách  SYKFY 5 x 2 x 0,5 mm</t>
  </si>
  <si>
    <t>-551129174</t>
  </si>
  <si>
    <t>10.048.908</t>
  </si>
  <si>
    <t>SYKFY 5x2x0,5</t>
  </si>
  <si>
    <t>-230165038</t>
  </si>
  <si>
    <t>220280229</t>
  </si>
  <si>
    <t>Montáž koaxiálního kabelu 75ohm</t>
  </si>
  <si>
    <t>989270628</t>
  </si>
  <si>
    <t>10.698.536</t>
  </si>
  <si>
    <t>Kabel HD-1000 FHD koaxiál bal.150m</t>
  </si>
  <si>
    <t>-1721658703</t>
  </si>
  <si>
    <t>220301201</t>
  </si>
  <si>
    <t>Montáž zásuvka telefonní 4-pólové pod omítku</t>
  </si>
  <si>
    <t>189609185</t>
  </si>
  <si>
    <t>10.942.065</t>
  </si>
  <si>
    <t>Zásuvka datová RJ45 kat.5e</t>
  </si>
  <si>
    <t>-559805399</t>
  </si>
  <si>
    <t>220301203</t>
  </si>
  <si>
    <t>Montáž televizní zásuvky pod omítku</t>
  </si>
  <si>
    <t>-753620773</t>
  </si>
  <si>
    <t>374511230</t>
  </si>
  <si>
    <t>zásuvka tv+r bílý, slonová kost-kompletní</t>
  </si>
  <si>
    <t>1166857283</t>
  </si>
  <si>
    <t>741999041</t>
  </si>
  <si>
    <t>konektory F - kompresní</t>
  </si>
  <si>
    <t>-921961896</t>
  </si>
  <si>
    <t>10007.1</t>
  </si>
  <si>
    <t>UTP propojovací kabel 0,5m 5e</t>
  </si>
  <si>
    <t>-874641596</t>
  </si>
  <si>
    <t>741999044</t>
  </si>
  <si>
    <t>propojovací kabeláž</t>
  </si>
  <si>
    <t xml:space="preserve">sada </t>
  </si>
  <si>
    <t>-1590012129</t>
  </si>
  <si>
    <t>742330101.1</t>
  </si>
  <si>
    <t>Měření metalického segmentu s vyhotovením protokolu</t>
  </si>
  <si>
    <t>1271865333</t>
  </si>
  <si>
    <t>742420111</t>
  </si>
  <si>
    <t>Montáž UTP konektoru</t>
  </si>
  <si>
    <t>-1813208236</t>
  </si>
  <si>
    <t>8006</t>
  </si>
  <si>
    <t>Lisovací konektor RJ45, kat.5</t>
  </si>
  <si>
    <t>1852184845</t>
  </si>
  <si>
    <t>36-M</t>
  </si>
  <si>
    <t>Montáž prov.,měř. a regul. zařízení</t>
  </si>
  <si>
    <t>360020611</t>
  </si>
  <si>
    <t>Vyvrtání otvoru v betonovém zdivu do 450 mm, průměru 30 mm</t>
  </si>
  <si>
    <t>-34882235</t>
  </si>
  <si>
    <t>360020611.2</t>
  </si>
  <si>
    <t>Vyvrtání otvoru v betonovém zdivu do 150 mm, průměru 30 mm</t>
  </si>
  <si>
    <t>-1735247642</t>
  </si>
  <si>
    <t>360020612</t>
  </si>
  <si>
    <t>Vyvrtání otvoru v betonovém zdivu do 700 mm, průměru 50 mm</t>
  </si>
  <si>
    <t>-1632422752</t>
  </si>
  <si>
    <t>46-M</t>
  </si>
  <si>
    <t>Zemní práce při extr.mont.pracích</t>
  </si>
  <si>
    <t>460600061</t>
  </si>
  <si>
    <t>Odvoz suti a vybouraných hmot</t>
  </si>
  <si>
    <t>-1143102910</t>
  </si>
  <si>
    <t>941955003R00.1</t>
  </si>
  <si>
    <t>Pronájem lešení lehké pomocné, výška podlahy do 2,5 m 2ks</t>
  </si>
  <si>
    <t>den</t>
  </si>
  <si>
    <t>267740037</t>
  </si>
  <si>
    <t>460680592</t>
  </si>
  <si>
    <t>Vysekání rýh pro montáž trubek a kabelů v cihelných zdech hloubky do 5 cm a šířky do 5 cm</t>
  </si>
  <si>
    <t>1747500594</t>
  </si>
  <si>
    <t>460680593</t>
  </si>
  <si>
    <t>Vysekání rýh pro montáž trubek a kabelů v cihelných zdech hloubky do 5 cm a šířky do 7 cm</t>
  </si>
  <si>
    <t>696758567</t>
  </si>
  <si>
    <t>460680594</t>
  </si>
  <si>
    <t>Vysekání rýh pro montáž trubek a kabelů v cihelných zdech hloubky do 5 cm a šířky do 10 cm</t>
  </si>
  <si>
    <t>-1134662949</t>
  </si>
  <si>
    <t>460680604</t>
  </si>
  <si>
    <t>Vysekání rýh pro montáž trubek a kabelů v cihelných zdech hloubky do 7 cm a šířky do 10 cm</t>
  </si>
  <si>
    <t>-1101577574</t>
  </si>
  <si>
    <t>460690031.1</t>
  </si>
  <si>
    <t>Osazení hmoždinek včetně vyvrtání otvoru ve stěnách cihelných průměru do 8 mm</t>
  </si>
  <si>
    <t>1770363125</t>
  </si>
  <si>
    <t>562810840.1</t>
  </si>
  <si>
    <t>hmoždinka HL 8+vrut</t>
  </si>
  <si>
    <t>tis kus</t>
  </si>
  <si>
    <t>-781499618</t>
  </si>
  <si>
    <t>460690032.1</t>
  </si>
  <si>
    <t>Osazení hmoždinek včetně vyvrtání otvoru ve stěnách cihelných průměru do 12 mm</t>
  </si>
  <si>
    <t>-965726677</t>
  </si>
  <si>
    <t>562810820.1</t>
  </si>
  <si>
    <t>hmoždinka HL 10+vrut</t>
  </si>
  <si>
    <t>-569877182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</si>
  <si>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</si>
  <si>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</si>
  <si>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</si>
  <si>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</si>
  <si>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</si>
  <si>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</si>
  <si>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</si>
  <si>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-676204311</t>
  </si>
  <si>
    <t>VRN3</t>
  </si>
  <si>
    <t>032903000</t>
  </si>
  <si>
    <t>Náklady na provoz a údržbu vybavení staveniště</t>
  </si>
  <si>
    <t>910333543</t>
  </si>
  <si>
    <t>VRN4</t>
  </si>
  <si>
    <t>Inženýrská činnost</t>
  </si>
  <si>
    <t>041103000</t>
  </si>
  <si>
    <t>Autorský dozor projektanta</t>
  </si>
  <si>
    <t>-1720002603</t>
  </si>
  <si>
    <t>049103000</t>
  </si>
  <si>
    <t>Náklady vzniklé v souvislosti s realizací stavby</t>
  </si>
  <si>
    <t>-759878370</t>
  </si>
  <si>
    <t>2. 12. 2024</t>
  </si>
  <si>
    <t>Vyplň údaj</t>
  </si>
  <si>
    <t>Svítidlo přisazené - 
LED,IP40,přisazené,Základna: ocelový plech bílé barvy , Difuzor: lesklá parabolická mřížka, 30W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</si>
</sst>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dd\.mm\.yyyy"/>
    <numFmt numFmtId="166" formatCode="#,##0.00%"/>
    <numFmt numFmtId="167" formatCode="#,##0.00000"/>
    <numFmt numFmtId="168" formatCode="#,##0.000"/>
  </numFmts>
  <fonts count="48" x14ac:knownFonts="1">
    <font>
      <sz val="11"/>
      <name val="Calibri"/>
      <charset val="1"/>
    </font>
    <font>
      <sz val="11"/>
      <color theme="1"/>
      <name val="Calibri"/>
      <family val="2"/>
      <charset val="238"/>
      <scheme val="minor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  <font>
      <i/>
      <sz val="9"/>
      <color rgb="FF00000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rgb="FFD2D2D2"/>
      </patternFill>
    </fill>
  </fills>
  <borders count="1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5">
    <xf numFmtId="0" fontId="0" fillId="0" borderId="0"/>
    <xf numFmtId="0" fontId="13" fillId="0" borderId="68"/>
    <xf numFmtId="0" fontId="1" fillId="0" borderId="68"/>
    <xf numFmtId="44" fontId="1" fillId="0" borderId="68" applyFont="0" applyFill="0" applyBorder="0" applyAlignment="0" applyProtection="0"/>
    <xf numFmtId="0" fontId="26" fillId="0" borderId="68"/>
  </cellStyleXfs>
  <cellXfs count="382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" fontId="9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/>
    </xf>
    <xf numFmtId="4" fontId="9" fillId="0" borderId="23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4" fontId="8" fillId="2" borderId="18" xfId="0" applyNumberFormat="1" applyFont="1" applyFill="1" applyBorder="1" applyAlignment="1">
      <alignment horizontal="right" vertical="center"/>
    </xf>
    <xf numFmtId="0" fontId="10" fillId="0" borderId="40" xfId="0" applyFont="1" applyBorder="1" applyAlignment="1">
      <alignment horizontal="left" vertical="center"/>
    </xf>
    <xf numFmtId="0" fontId="4" fillId="0" borderId="45" xfId="0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4" fontId="3" fillId="0" borderId="49" xfId="0" applyNumberFormat="1" applyFont="1" applyBorder="1" applyAlignment="1">
      <alignment horizontal="right" vertical="center"/>
    </xf>
    <xf numFmtId="0" fontId="3" fillId="0" borderId="49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3" xfId="0" applyFont="1" applyBorder="1" applyAlignment="1">
      <alignment horizontal="right" vertical="center"/>
    </xf>
    <xf numFmtId="4" fontId="4" fillId="0" borderId="53" xfId="0" applyNumberFormat="1" applyFont="1" applyBorder="1" applyAlignment="1">
      <alignment horizontal="right" vertical="center"/>
    </xf>
    <xf numFmtId="0" fontId="3" fillId="0" borderId="57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6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4" fontId="3" fillId="0" borderId="40" xfId="0" applyNumberFormat="1" applyFont="1" applyBorder="1" applyAlignment="1">
      <alignment horizontal="right" vertical="center"/>
    </xf>
    <xf numFmtId="4" fontId="3" fillId="0" borderId="66" xfId="0" applyNumberFormat="1" applyFont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4" fillId="0" borderId="68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4" fillId="2" borderId="0" xfId="0" applyNumberFormat="1" applyFont="1" applyFill="1" applyAlignment="1">
      <alignment horizontal="right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70" xfId="0" applyFont="1" applyBorder="1" applyAlignment="1">
      <alignment horizontal="center" vertical="center"/>
    </xf>
    <xf numFmtId="0" fontId="4" fillId="3" borderId="72" xfId="0" applyFont="1" applyFill="1" applyBorder="1" applyAlignment="1" applyProtection="1">
      <alignment horizontal="center" vertical="center"/>
      <protection locked="0"/>
    </xf>
    <xf numFmtId="0" fontId="4" fillId="0" borderId="73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4" fillId="3" borderId="77" xfId="0" applyFont="1" applyFill="1" applyBorder="1" applyAlignment="1" applyProtection="1">
      <alignment horizontal="center" vertical="center"/>
      <protection locked="0"/>
    </xf>
    <xf numFmtId="0" fontId="4" fillId="0" borderId="78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4" borderId="40" xfId="0" applyFont="1" applyFill="1" applyBorder="1" applyAlignment="1" applyProtection="1">
      <alignment horizontal="left" vertical="center"/>
      <protection locked="0"/>
    </xf>
    <xf numFmtId="4" fontId="4" fillId="2" borderId="40" xfId="0" applyNumberFormat="1" applyFont="1" applyFill="1" applyBorder="1" applyAlignment="1">
      <alignment horizontal="right" vertical="center"/>
    </xf>
    <xf numFmtId="0" fontId="4" fillId="2" borderId="6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4" fillId="2" borderId="6" xfId="0" applyFont="1" applyFill="1" applyBorder="1" applyAlignment="1">
      <alignment horizontal="right" vertical="center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11" fillId="0" borderId="0" xfId="0" applyFont="1" applyAlignment="1">
      <alignment horizontal="right" vertical="center"/>
    </xf>
    <xf numFmtId="4" fontId="3" fillId="3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right" vertical="center"/>
    </xf>
    <xf numFmtId="0" fontId="4" fillId="0" borderId="79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4" fillId="0" borderId="83" xfId="0" applyFont="1" applyBorder="1" applyAlignment="1">
      <alignment horizontal="right" vertical="center"/>
    </xf>
    <xf numFmtId="0" fontId="4" fillId="0" borderId="84" xfId="0" applyFont="1" applyBorder="1" applyAlignment="1">
      <alignment horizontal="left" vertical="center"/>
    </xf>
    <xf numFmtId="0" fontId="4" fillId="2" borderId="65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0" fillId="0" borderId="6" xfId="0" applyBorder="1"/>
    <xf numFmtId="0" fontId="12" fillId="0" borderId="0" xfId="0" applyFont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12" fillId="0" borderId="8" xfId="0" applyFont="1" applyBorder="1" applyAlignment="1">
      <alignment horizontal="left" vertical="center"/>
    </xf>
    <xf numFmtId="4" fontId="12" fillId="0" borderId="8" xfId="0" applyNumberFormat="1" applyFont="1" applyBorder="1" applyAlignment="1">
      <alignment horizontal="right" vertical="center"/>
    </xf>
    <xf numFmtId="0" fontId="0" fillId="0" borderId="9" xfId="0" applyBorder="1"/>
    <xf numFmtId="0" fontId="14" fillId="0" borderId="85" xfId="1" applyFont="1" applyBorder="1"/>
    <xf numFmtId="0" fontId="15" fillId="6" borderId="86" xfId="1" applyFont="1" applyFill="1" applyBorder="1" applyAlignment="1">
      <alignment horizontal="center" vertical="center" wrapText="1"/>
    </xf>
    <xf numFmtId="0" fontId="14" fillId="0" borderId="86" xfId="1" applyFont="1" applyBorder="1" applyAlignment="1">
      <alignment vertical="top" wrapText="1"/>
    </xf>
    <xf numFmtId="0" fontId="1" fillId="0" borderId="68" xfId="2"/>
    <xf numFmtId="0" fontId="14" fillId="0" borderId="90" xfId="1" applyFont="1" applyBorder="1" applyAlignment="1">
      <alignment vertical="top"/>
    </xf>
    <xf numFmtId="0" fontId="15" fillId="6" borderId="91" xfId="1" applyFont="1" applyFill="1" applyBorder="1" applyAlignment="1">
      <alignment horizontal="center" vertical="center" wrapText="1"/>
    </xf>
    <xf numFmtId="0" fontId="14" fillId="0" borderId="91" xfId="1" applyFont="1" applyBorder="1" applyAlignment="1">
      <alignment vertical="top" wrapText="1"/>
    </xf>
    <xf numFmtId="4" fontId="16" fillId="0" borderId="93" xfId="1" applyNumberFormat="1" applyFont="1" applyBorder="1" applyAlignment="1">
      <alignment horizontal="center" vertical="center" wrapText="1"/>
    </xf>
    <xf numFmtId="4" fontId="16" fillId="0" borderId="91" xfId="1" applyNumberFormat="1" applyFont="1" applyBorder="1" applyAlignment="1">
      <alignment horizontal="center" vertical="center" wrapText="1"/>
    </xf>
    <xf numFmtId="164" fontId="17" fillId="0" borderId="92" xfId="3" applyNumberFormat="1" applyFont="1" applyBorder="1" applyAlignment="1">
      <alignment horizontal="left" vertical="top"/>
    </xf>
    <xf numFmtId="164" fontId="17" fillId="0" borderId="94" xfId="3" applyNumberFormat="1" applyFont="1" applyBorder="1" applyAlignment="1">
      <alignment horizontal="left" vertical="top"/>
    </xf>
    <xf numFmtId="0" fontId="18" fillId="0" borderId="95" xfId="2" applyFont="1" applyBorder="1" applyAlignment="1">
      <alignment horizontal="left" vertical="center"/>
    </xf>
    <xf numFmtId="0" fontId="18" fillId="0" borderId="96" xfId="2" applyFont="1" applyBorder="1" applyAlignment="1">
      <alignment horizontal="left" vertical="center"/>
    </xf>
    <xf numFmtId="0" fontId="19" fillId="0" borderId="96" xfId="1" applyFont="1" applyBorder="1" applyAlignment="1">
      <alignment horizontal="center" vertical="center" wrapText="1"/>
    </xf>
    <xf numFmtId="4" fontId="19" fillId="0" borderId="96" xfId="1" applyNumberFormat="1" applyFont="1" applyBorder="1" applyAlignment="1">
      <alignment horizontal="center" vertical="center" wrapText="1"/>
    </xf>
    <xf numFmtId="0" fontId="19" fillId="0" borderId="97" xfId="1" applyFont="1" applyBorder="1" applyAlignment="1">
      <alignment horizontal="center" vertical="center" wrapText="1"/>
    </xf>
    <xf numFmtId="164" fontId="14" fillId="0" borderId="98" xfId="3" applyNumberFormat="1" applyFont="1" applyBorder="1" applyAlignment="1">
      <alignment horizontal="center" vertical="center" wrapText="1"/>
    </xf>
    <xf numFmtId="164" fontId="14" fillId="0" borderId="99" xfId="3" applyNumberFormat="1" applyFont="1" applyBorder="1" applyAlignment="1">
      <alignment horizontal="center" vertical="center" wrapText="1"/>
    </xf>
    <xf numFmtId="0" fontId="20" fillId="7" borderId="100" xfId="1" applyFont="1" applyFill="1" applyBorder="1" applyAlignment="1">
      <alignment vertical="top"/>
    </xf>
    <xf numFmtId="4" fontId="20" fillId="0" borderId="103" xfId="2" applyNumberFormat="1" applyFont="1" applyBorder="1" applyAlignment="1">
      <alignment horizontal="center" vertical="center"/>
    </xf>
    <xf numFmtId="0" fontId="20" fillId="0" borderId="101" xfId="2" applyFont="1" applyBorder="1" applyAlignment="1">
      <alignment horizontal="center" wrapText="1"/>
    </xf>
    <xf numFmtId="3" fontId="20" fillId="0" borderId="101" xfId="2" applyNumberFormat="1" applyFont="1" applyBorder="1" applyAlignment="1">
      <alignment horizontal="center" wrapText="1"/>
    </xf>
    <xf numFmtId="0" fontId="20" fillId="0" borderId="101" xfId="1" applyFont="1" applyBorder="1" applyAlignment="1">
      <alignment horizontal="center" wrapText="1"/>
    </xf>
    <xf numFmtId="164" fontId="20" fillId="0" borderId="101" xfId="3" applyNumberFormat="1" applyFont="1" applyBorder="1" applyAlignment="1">
      <alignment horizontal="center" wrapText="1"/>
    </xf>
    <xf numFmtId="164" fontId="20" fillId="0" borderId="102" xfId="3" applyNumberFormat="1" applyFont="1" applyBorder="1" applyAlignment="1" applyProtection="1">
      <alignment horizontal="center" wrapText="1"/>
      <protection locked="0"/>
    </xf>
    <xf numFmtId="0" fontId="17" fillId="8" borderId="100" xfId="2" applyFont="1" applyFill="1" applyBorder="1" applyAlignment="1">
      <alignment horizontal="center"/>
    </xf>
    <xf numFmtId="0" fontId="15" fillId="8" borderId="68" xfId="2" applyFont="1" applyFill="1" applyAlignment="1">
      <alignment wrapText="1"/>
    </xf>
    <xf numFmtId="0" fontId="22" fillId="8" borderId="68" xfId="2" applyFont="1" applyFill="1" applyAlignment="1">
      <alignment horizontal="center"/>
    </xf>
    <xf numFmtId="3" fontId="22" fillId="8" borderId="68" xfId="2" applyNumberFormat="1" applyFont="1" applyFill="1" applyAlignment="1">
      <alignment horizontal="center"/>
    </xf>
    <xf numFmtId="4" fontId="22" fillId="8" borderId="68" xfId="2" applyNumberFormat="1" applyFont="1" applyFill="1" applyAlignment="1" applyProtection="1">
      <alignment horizontal="center"/>
      <protection locked="0"/>
    </xf>
    <xf numFmtId="164" fontId="22" fillId="8" borderId="68" xfId="3" applyNumberFormat="1" applyFont="1" applyFill="1" applyBorder="1" applyAlignment="1"/>
    <xf numFmtId="164" fontId="17" fillId="8" borderId="104" xfId="3" applyNumberFormat="1" applyFont="1" applyFill="1" applyBorder="1"/>
    <xf numFmtId="0" fontId="1" fillId="8" borderId="68" xfId="2" applyFill="1"/>
    <xf numFmtId="0" fontId="17" fillId="0" borderId="100" xfId="2" applyFont="1" applyBorder="1" applyAlignment="1">
      <alignment horizontal="center"/>
    </xf>
    <xf numFmtId="0" fontId="22" fillId="0" borderId="68" xfId="2" applyFont="1" applyAlignment="1">
      <alignment wrapText="1"/>
    </xf>
    <xf numFmtId="0" fontId="22" fillId="0" borderId="68" xfId="2" applyFont="1" applyAlignment="1">
      <alignment horizontal="center"/>
    </xf>
    <xf numFmtId="3" fontId="22" fillId="0" borderId="68" xfId="2" applyNumberFormat="1" applyFont="1" applyAlignment="1">
      <alignment horizontal="center"/>
    </xf>
    <xf numFmtId="4" fontId="22" fillId="0" borderId="68" xfId="2" applyNumberFormat="1" applyFont="1" applyAlignment="1" applyProtection="1">
      <alignment horizontal="center"/>
      <protection locked="0"/>
    </xf>
    <xf numFmtId="164" fontId="22" fillId="9" borderId="68" xfId="3" applyNumberFormat="1" applyFont="1" applyFill="1" applyBorder="1" applyAlignment="1"/>
    <xf numFmtId="164" fontId="17" fillId="0" borderId="104" xfId="3" applyNumberFormat="1" applyFont="1" applyBorder="1"/>
    <xf numFmtId="0" fontId="20" fillId="0" borderId="68" xfId="2" applyFont="1"/>
    <xf numFmtId="3" fontId="22" fillId="0" borderId="68" xfId="2" applyNumberFormat="1" applyFont="1" applyAlignment="1" applyProtection="1">
      <alignment horizontal="center"/>
      <protection locked="0"/>
    </xf>
    <xf numFmtId="0" fontId="22" fillId="0" borderId="68" xfId="2" applyFont="1"/>
    <xf numFmtId="0" fontId="23" fillId="0" borderId="68" xfId="2" applyFont="1"/>
    <xf numFmtId="0" fontId="17" fillId="0" borderId="68" xfId="2" applyFont="1"/>
    <xf numFmtId="4" fontId="22" fillId="0" borderId="68" xfId="2" applyNumberFormat="1" applyFont="1" applyAlignment="1">
      <alignment horizontal="center"/>
    </xf>
    <xf numFmtId="164" fontId="22" fillId="0" borderId="68" xfId="3" applyNumberFormat="1" applyFont="1" applyBorder="1" applyAlignment="1"/>
    <xf numFmtId="0" fontId="19" fillId="7" borderId="105" xfId="1" applyFont="1" applyFill="1" applyBorder="1" applyAlignment="1">
      <alignment horizontal="left" vertical="center" wrapText="1"/>
    </xf>
    <xf numFmtId="0" fontId="24" fillId="7" borderId="106" xfId="1" applyFont="1" applyFill="1" applyBorder="1" applyAlignment="1">
      <alignment horizontal="left" vertical="center" wrapText="1"/>
    </xf>
    <xf numFmtId="0" fontId="25" fillId="7" borderId="106" xfId="1" applyFont="1" applyFill="1" applyBorder="1" applyAlignment="1">
      <alignment horizontal="left" vertical="center" wrapText="1"/>
    </xf>
    <xf numFmtId="0" fontId="25" fillId="7" borderId="106" xfId="1" applyFont="1" applyFill="1" applyBorder="1" applyAlignment="1">
      <alignment horizontal="center" vertical="center" wrapText="1"/>
    </xf>
    <xf numFmtId="49" fontId="25" fillId="7" borderId="106" xfId="1" applyNumberFormat="1" applyFont="1" applyFill="1" applyBorder="1" applyAlignment="1">
      <alignment horizontal="center" vertical="center" wrapText="1"/>
    </xf>
    <xf numFmtId="164" fontId="25" fillId="7" borderId="106" xfId="3" applyNumberFormat="1" applyFont="1" applyFill="1" applyBorder="1" applyAlignment="1">
      <alignment horizontal="left" vertical="center" wrapText="1"/>
    </xf>
    <xf numFmtId="164" fontId="15" fillId="7" borderId="107" xfId="3" applyNumberFormat="1" applyFont="1" applyFill="1" applyBorder="1" applyAlignment="1">
      <alignment vertical="center"/>
    </xf>
    <xf numFmtId="0" fontId="20" fillId="0" borderId="68" xfId="2" applyFont="1" applyAlignment="1">
      <alignment vertical="center"/>
    </xf>
    <xf numFmtId="0" fontId="17" fillId="0" borderId="68" xfId="2" applyFont="1" applyAlignment="1">
      <alignment vertical="center"/>
    </xf>
    <xf numFmtId="0" fontId="26" fillId="0" borderId="68" xfId="4"/>
    <xf numFmtId="0" fontId="26" fillId="0" borderId="68" xfId="4" applyAlignment="1">
      <alignment horizontal="left" vertical="center"/>
    </xf>
    <xf numFmtId="0" fontId="26" fillId="0" borderId="2" xfId="4" applyBorder="1"/>
    <xf numFmtId="0" fontId="26" fillId="0" borderId="3" xfId="4" applyBorder="1"/>
    <xf numFmtId="0" fontId="26" fillId="0" borderId="65" xfId="4" applyBorder="1"/>
    <xf numFmtId="0" fontId="28" fillId="0" borderId="68" xfId="4" applyFont="1" applyAlignment="1">
      <alignment horizontal="left" vertical="center"/>
    </xf>
    <xf numFmtId="0" fontId="29" fillId="0" borderId="68" xfId="4" applyFont="1" applyAlignment="1">
      <alignment horizontal="left" vertical="center"/>
    </xf>
    <xf numFmtId="0" fontId="26" fillId="0" borderId="68" xfId="4" applyAlignment="1">
      <alignment vertical="center"/>
    </xf>
    <xf numFmtId="0" fontId="26" fillId="0" borderId="65" xfId="4" applyBorder="1" applyAlignment="1">
      <alignment vertical="center"/>
    </xf>
    <xf numFmtId="0" fontId="30" fillId="0" borderId="68" xfId="4" applyFont="1" applyAlignment="1">
      <alignment horizontal="left" vertical="center"/>
    </xf>
    <xf numFmtId="0" fontId="32" fillId="0" borderId="68" xfId="4" applyFont="1" applyAlignment="1">
      <alignment horizontal="left" vertical="center"/>
    </xf>
    <xf numFmtId="165" fontId="32" fillId="0" borderId="68" xfId="4" applyNumberFormat="1" applyFont="1" applyAlignment="1">
      <alignment horizontal="left" vertical="center"/>
    </xf>
    <xf numFmtId="0" fontId="32" fillId="5" borderId="68" xfId="4" applyFont="1" applyFill="1" applyAlignment="1" applyProtection="1">
      <alignment horizontal="left" vertical="center"/>
      <protection locked="0"/>
    </xf>
    <xf numFmtId="0" fontId="26" fillId="0" borderId="68" xfId="4" applyAlignment="1">
      <alignment vertical="center" wrapText="1"/>
    </xf>
    <xf numFmtId="0" fontId="26" fillId="0" borderId="65" xfId="4" applyBorder="1" applyAlignment="1">
      <alignment vertical="center" wrapText="1"/>
    </xf>
    <xf numFmtId="0" fontId="32" fillId="0" borderId="68" xfId="4" applyFont="1" applyAlignment="1">
      <alignment horizontal="left" vertical="center" wrapText="1"/>
    </xf>
    <xf numFmtId="0" fontId="26" fillId="0" borderId="108" xfId="4" applyBorder="1" applyAlignment="1">
      <alignment vertical="center"/>
    </xf>
    <xf numFmtId="0" fontId="33" fillId="0" borderId="68" xfId="4" applyFont="1" applyAlignment="1">
      <alignment horizontal="left" vertical="center"/>
    </xf>
    <xf numFmtId="4" fontId="34" fillId="0" borderId="68" xfId="4" applyNumberFormat="1" applyFont="1" applyAlignment="1">
      <alignment vertical="center"/>
    </xf>
    <xf numFmtId="0" fontId="30" fillId="0" borderId="68" xfId="4" applyFont="1" applyAlignment="1">
      <alignment horizontal="right" vertical="center"/>
    </xf>
    <xf numFmtId="0" fontId="35" fillId="0" borderId="68" xfId="4" applyFont="1" applyAlignment="1">
      <alignment horizontal="left" vertical="center"/>
    </xf>
    <xf numFmtId="4" fontId="30" fillId="0" borderId="68" xfId="4" applyNumberFormat="1" applyFont="1" applyAlignment="1">
      <alignment vertical="center"/>
    </xf>
    <xf numFmtId="166" fontId="30" fillId="0" borderId="68" xfId="4" applyNumberFormat="1" applyFont="1" applyAlignment="1">
      <alignment horizontal="right" vertical="center"/>
    </xf>
    <xf numFmtId="0" fontId="26" fillId="11" borderId="68" xfId="4" applyFill="1" applyAlignment="1">
      <alignment vertical="center"/>
    </xf>
    <xf numFmtId="0" fontId="36" fillId="11" borderId="109" xfId="4" applyFont="1" applyFill="1" applyBorder="1" applyAlignment="1">
      <alignment horizontal="left" vertical="center"/>
    </xf>
    <xf numFmtId="0" fontId="26" fillId="11" borderId="110" xfId="4" applyFill="1" applyBorder="1" applyAlignment="1">
      <alignment vertical="center"/>
    </xf>
    <xf numFmtId="0" fontId="36" fillId="11" borderId="110" xfId="4" applyFont="1" applyFill="1" applyBorder="1" applyAlignment="1">
      <alignment horizontal="right" vertical="center"/>
    </xf>
    <xf numFmtId="0" fontId="36" fillId="11" borderId="110" xfId="4" applyFont="1" applyFill="1" applyBorder="1" applyAlignment="1">
      <alignment horizontal="center" vertical="center"/>
    </xf>
    <xf numFmtId="4" fontId="36" fillId="11" borderId="110" xfId="4" applyNumberFormat="1" applyFont="1" applyFill="1" applyBorder="1" applyAlignment="1">
      <alignment vertical="center"/>
    </xf>
    <xf numFmtId="0" fontId="26" fillId="11" borderId="111" xfId="4" applyFill="1" applyBorder="1" applyAlignment="1">
      <alignment vertical="center"/>
    </xf>
    <xf numFmtId="0" fontId="37" fillId="0" borderId="112" xfId="4" applyFont="1" applyBorder="1" applyAlignment="1">
      <alignment horizontal="left" vertical="center"/>
    </xf>
    <xf numFmtId="0" fontId="26" fillId="0" borderId="112" xfId="4" applyBorder="1" applyAlignment="1">
      <alignment vertical="center"/>
    </xf>
    <xf numFmtId="0" fontId="30" fillId="0" borderId="113" xfId="4" applyFont="1" applyBorder="1" applyAlignment="1">
      <alignment horizontal="left" vertical="center"/>
    </xf>
    <xf numFmtId="0" fontId="26" fillId="0" borderId="113" xfId="4" applyBorder="1" applyAlignment="1">
      <alignment vertical="center"/>
    </xf>
    <xf numFmtId="0" fontId="30" fillId="0" borderId="113" xfId="4" applyFont="1" applyBorder="1" applyAlignment="1">
      <alignment horizontal="center" vertical="center"/>
    </xf>
    <xf numFmtId="0" fontId="30" fillId="0" borderId="113" xfId="4" applyFont="1" applyBorder="1" applyAlignment="1">
      <alignment horizontal="right" vertical="center"/>
    </xf>
    <xf numFmtId="0" fontId="26" fillId="0" borderId="20" xfId="4" applyBorder="1" applyAlignment="1">
      <alignment vertical="center"/>
    </xf>
    <xf numFmtId="0" fontId="26" fillId="0" borderId="28" xfId="4" applyBorder="1" applyAlignment="1">
      <alignment vertical="center"/>
    </xf>
    <xf numFmtId="0" fontId="26" fillId="0" borderId="2" xfId="4" applyBorder="1" applyAlignment="1">
      <alignment vertical="center"/>
    </xf>
    <xf numFmtId="0" fontId="26" fillId="0" borderId="3" xfId="4" applyBorder="1" applyAlignment="1">
      <alignment vertical="center"/>
    </xf>
    <xf numFmtId="0" fontId="38" fillId="11" borderId="68" xfId="4" applyFont="1" applyFill="1" applyAlignment="1">
      <alignment horizontal="left" vertical="center"/>
    </xf>
    <xf numFmtId="0" fontId="38" fillId="11" borderId="68" xfId="4" applyFont="1" applyFill="1" applyAlignment="1">
      <alignment horizontal="right" vertical="center"/>
    </xf>
    <xf numFmtId="0" fontId="39" fillId="0" borderId="68" xfId="4" applyFont="1" applyAlignment="1">
      <alignment horizontal="left" vertical="center"/>
    </xf>
    <xf numFmtId="0" fontId="40" fillId="0" borderId="68" xfId="4" applyFont="1" applyAlignment="1">
      <alignment vertical="center"/>
    </xf>
    <xf numFmtId="0" fontId="40" fillId="0" borderId="65" xfId="4" applyFont="1" applyBorder="1" applyAlignment="1">
      <alignment vertical="center"/>
    </xf>
    <xf numFmtId="0" fontId="40" fillId="0" borderId="114" xfId="4" applyFont="1" applyBorder="1" applyAlignment="1">
      <alignment horizontal="left" vertical="center"/>
    </xf>
    <xf numFmtId="0" fontId="40" fillId="0" borderId="114" xfId="4" applyFont="1" applyBorder="1" applyAlignment="1">
      <alignment vertical="center"/>
    </xf>
    <xf numFmtId="4" fontId="40" fillId="0" borderId="114" xfId="4" applyNumberFormat="1" applyFont="1" applyBorder="1" applyAlignment="1">
      <alignment vertical="center"/>
    </xf>
    <xf numFmtId="0" fontId="41" fillId="0" borderId="68" xfId="4" applyFont="1" applyAlignment="1">
      <alignment vertical="center"/>
    </xf>
    <xf numFmtId="0" fontId="41" fillId="0" borderId="65" xfId="4" applyFont="1" applyBorder="1" applyAlignment="1">
      <alignment vertical="center"/>
    </xf>
    <xf numFmtId="0" fontId="41" fillId="0" borderId="114" xfId="4" applyFont="1" applyBorder="1" applyAlignment="1">
      <alignment horizontal="left" vertical="center"/>
    </xf>
    <xf numFmtId="0" fontId="41" fillId="0" borderId="114" xfId="4" applyFont="1" applyBorder="1" applyAlignment="1">
      <alignment vertical="center"/>
    </xf>
    <xf numFmtId="4" fontId="41" fillId="0" borderId="114" xfId="4" applyNumberFormat="1" applyFont="1" applyBorder="1" applyAlignment="1">
      <alignment vertical="center"/>
    </xf>
    <xf numFmtId="0" fontId="26" fillId="0" borderId="68" xfId="4" applyAlignment="1">
      <alignment horizontal="center" vertical="center" wrapText="1"/>
    </xf>
    <xf numFmtId="0" fontId="26" fillId="0" borderId="65" xfId="4" applyBorder="1" applyAlignment="1">
      <alignment horizontal="center" vertical="center" wrapText="1"/>
    </xf>
    <xf numFmtId="0" fontId="38" fillId="11" borderId="115" xfId="4" applyFont="1" applyFill="1" applyBorder="1" applyAlignment="1">
      <alignment horizontal="center" vertical="center" wrapText="1"/>
    </xf>
    <xf numFmtId="0" fontId="38" fillId="11" borderId="116" xfId="4" applyFont="1" applyFill="1" applyBorder="1" applyAlignment="1">
      <alignment horizontal="center" vertical="center" wrapText="1"/>
    </xf>
    <xf numFmtId="0" fontId="38" fillId="11" borderId="117" xfId="4" applyFont="1" applyFill="1" applyBorder="1" applyAlignment="1">
      <alignment horizontal="center" vertical="center" wrapText="1"/>
    </xf>
    <xf numFmtId="0" fontId="38" fillId="11" borderId="68" xfId="4" applyFont="1" applyFill="1" applyAlignment="1">
      <alignment horizontal="center" vertical="center" wrapText="1"/>
    </xf>
    <xf numFmtId="0" fontId="42" fillId="0" borderId="115" xfId="4" applyFont="1" applyBorder="1" applyAlignment="1">
      <alignment horizontal="center" vertical="center" wrapText="1"/>
    </xf>
    <xf numFmtId="0" fontId="42" fillId="0" borderId="116" xfId="4" applyFont="1" applyBorder="1" applyAlignment="1">
      <alignment horizontal="center" vertical="center" wrapText="1"/>
    </xf>
    <xf numFmtId="0" fontId="42" fillId="0" borderId="117" xfId="4" applyFont="1" applyBorder="1" applyAlignment="1">
      <alignment horizontal="center" vertical="center" wrapText="1"/>
    </xf>
    <xf numFmtId="0" fontId="34" fillId="0" borderId="68" xfId="4" applyFont="1" applyAlignment="1">
      <alignment horizontal="left" vertical="center"/>
    </xf>
    <xf numFmtId="4" fontId="34" fillId="0" borderId="68" xfId="4" applyNumberFormat="1" applyFont="1"/>
    <xf numFmtId="0" fontId="26" fillId="0" borderId="118" xfId="4" applyBorder="1" applyAlignment="1">
      <alignment vertical="center"/>
    </xf>
    <xf numFmtId="167" fontId="43" fillId="0" borderId="108" xfId="4" applyNumberFormat="1" applyFont="1" applyBorder="1"/>
    <xf numFmtId="167" fontId="43" fillId="0" borderId="119" xfId="4" applyNumberFormat="1" applyFont="1" applyBorder="1"/>
    <xf numFmtId="4" fontId="44" fillId="0" borderId="68" xfId="4" applyNumberFormat="1" applyFont="1" applyAlignment="1">
      <alignment vertical="center"/>
    </xf>
    <xf numFmtId="0" fontId="45" fillId="0" borderId="68" xfId="4" applyFont="1"/>
    <xf numFmtId="0" fontId="45" fillId="0" borderId="65" xfId="4" applyFont="1" applyBorder="1"/>
    <xf numFmtId="0" fontId="45" fillId="0" borderId="68" xfId="4" applyFont="1" applyAlignment="1">
      <alignment horizontal="left"/>
    </xf>
    <xf numFmtId="0" fontId="40" fillId="0" borderId="68" xfId="4" applyFont="1" applyAlignment="1">
      <alignment horizontal="left"/>
    </xf>
    <xf numFmtId="0" fontId="45" fillId="0" borderId="68" xfId="4" applyFont="1" applyProtection="1">
      <protection locked="0"/>
    </xf>
    <xf numFmtId="4" fontId="40" fillId="0" borderId="68" xfId="4" applyNumberFormat="1" applyFont="1"/>
    <xf numFmtId="0" fontId="45" fillId="0" borderId="120" xfId="4" applyFont="1" applyBorder="1"/>
    <xf numFmtId="167" fontId="45" fillId="0" borderId="68" xfId="4" applyNumberFormat="1" applyFont="1"/>
    <xf numFmtId="167" fontId="45" fillId="0" borderId="121" xfId="4" applyNumberFormat="1" applyFont="1" applyBorder="1"/>
    <xf numFmtId="0" fontId="45" fillId="0" borderId="68" xfId="4" applyFont="1" applyAlignment="1">
      <alignment horizontal="center"/>
    </xf>
    <xf numFmtId="4" fontId="45" fillId="0" borderId="68" xfId="4" applyNumberFormat="1" applyFont="1" applyAlignment="1">
      <alignment vertical="center"/>
    </xf>
    <xf numFmtId="0" fontId="41" fillId="0" borderId="68" xfId="4" applyFont="1" applyAlignment="1">
      <alignment horizontal="left"/>
    </xf>
    <xf numFmtId="4" fontId="41" fillId="0" borderId="68" xfId="4" applyNumberFormat="1" applyFont="1"/>
    <xf numFmtId="0" fontId="26" fillId="0" borderId="65" xfId="4" applyBorder="1" applyAlignment="1" applyProtection="1">
      <alignment vertical="center"/>
      <protection locked="0"/>
    </xf>
    <xf numFmtId="0" fontId="46" fillId="0" borderId="122" xfId="4" applyFont="1" applyBorder="1" applyAlignment="1" applyProtection="1">
      <alignment horizontal="center" vertical="center"/>
      <protection locked="0"/>
    </xf>
    <xf numFmtId="49" fontId="46" fillId="0" borderId="122" xfId="4" applyNumberFormat="1" applyFont="1" applyBorder="1" applyAlignment="1" applyProtection="1">
      <alignment horizontal="left" vertical="center" wrapText="1"/>
      <protection locked="0"/>
    </xf>
    <xf numFmtId="0" fontId="46" fillId="0" borderId="122" xfId="4" applyFont="1" applyBorder="1" applyAlignment="1" applyProtection="1">
      <alignment horizontal="left" vertical="center" wrapText="1"/>
      <protection locked="0"/>
    </xf>
    <xf numFmtId="0" fontId="46" fillId="0" borderId="122" xfId="4" applyFont="1" applyBorder="1" applyAlignment="1" applyProtection="1">
      <alignment horizontal="center" vertical="center" wrapText="1"/>
      <protection locked="0"/>
    </xf>
    <xf numFmtId="168" fontId="46" fillId="0" borderId="122" xfId="4" applyNumberFormat="1" applyFont="1" applyBorder="1" applyAlignment="1" applyProtection="1">
      <alignment vertical="center"/>
      <protection locked="0"/>
    </xf>
    <xf numFmtId="4" fontId="46" fillId="5" borderId="122" xfId="4" applyNumberFormat="1" applyFont="1" applyFill="1" applyBorder="1" applyAlignment="1" applyProtection="1">
      <alignment vertical="center"/>
      <protection locked="0"/>
    </xf>
    <xf numFmtId="4" fontId="46" fillId="0" borderId="122" xfId="4" applyNumberFormat="1" applyFont="1" applyBorder="1" applyAlignment="1" applyProtection="1">
      <alignment vertical="center"/>
      <protection locked="0"/>
    </xf>
    <xf numFmtId="0" fontId="47" fillId="0" borderId="122" xfId="4" applyFont="1" applyBorder="1" applyAlignment="1" applyProtection="1">
      <alignment vertical="center"/>
      <protection locked="0"/>
    </xf>
    <xf numFmtId="0" fontId="47" fillId="0" borderId="65" xfId="4" applyFont="1" applyBorder="1" applyAlignment="1">
      <alignment vertical="center"/>
    </xf>
    <xf numFmtId="0" fontId="46" fillId="5" borderId="120" xfId="4" applyFont="1" applyFill="1" applyBorder="1" applyAlignment="1" applyProtection="1">
      <alignment horizontal="left" vertical="center"/>
      <protection locked="0"/>
    </xf>
    <xf numFmtId="0" fontId="46" fillId="0" borderId="68" xfId="4" applyFont="1" applyAlignment="1">
      <alignment horizontal="center" vertical="center"/>
    </xf>
    <xf numFmtId="167" fontId="42" fillId="0" borderId="68" xfId="4" applyNumberFormat="1" applyFont="1" applyAlignment="1">
      <alignment vertical="center"/>
    </xf>
    <xf numFmtId="167" fontId="42" fillId="0" borderId="121" xfId="4" applyNumberFormat="1" applyFont="1" applyBorder="1" applyAlignment="1">
      <alignment vertical="center"/>
    </xf>
    <xf numFmtId="0" fontId="38" fillId="0" borderId="68" xfId="4" applyFont="1" applyAlignment="1">
      <alignment horizontal="left" vertical="center"/>
    </xf>
    <xf numFmtId="4" fontId="26" fillId="0" borderId="68" xfId="4" applyNumberFormat="1" applyAlignment="1">
      <alignment vertical="center"/>
    </xf>
    <xf numFmtId="0" fontId="38" fillId="0" borderId="122" xfId="4" applyFont="1" applyBorder="1" applyAlignment="1" applyProtection="1">
      <alignment horizontal="center" vertical="center"/>
      <protection locked="0"/>
    </xf>
    <xf numFmtId="49" fontId="38" fillId="0" borderId="122" xfId="4" applyNumberFormat="1" applyFont="1" applyBorder="1" applyAlignment="1" applyProtection="1">
      <alignment horizontal="left" vertical="center" wrapText="1"/>
      <protection locked="0"/>
    </xf>
    <xf numFmtId="0" fontId="38" fillId="0" borderId="122" xfId="4" applyFont="1" applyBorder="1" applyAlignment="1" applyProtection="1">
      <alignment horizontal="left" vertical="center" wrapText="1"/>
      <protection locked="0"/>
    </xf>
    <xf numFmtId="0" fontId="38" fillId="0" borderId="122" xfId="4" applyFont="1" applyBorder="1" applyAlignment="1" applyProtection="1">
      <alignment horizontal="center" vertical="center" wrapText="1"/>
      <protection locked="0"/>
    </xf>
    <xf numFmtId="168" fontId="38" fillId="0" borderId="122" xfId="4" applyNumberFormat="1" applyFont="1" applyBorder="1" applyAlignment="1" applyProtection="1">
      <alignment vertical="center"/>
      <protection locked="0"/>
    </xf>
    <xf numFmtId="4" fontId="38" fillId="5" borderId="122" xfId="4" applyNumberFormat="1" applyFont="1" applyFill="1" applyBorder="1" applyAlignment="1" applyProtection="1">
      <alignment vertical="center"/>
      <protection locked="0"/>
    </xf>
    <xf numFmtId="4" fontId="38" fillId="0" borderId="122" xfId="4" applyNumberFormat="1" applyFont="1" applyBorder="1" applyAlignment="1" applyProtection="1">
      <alignment vertical="center"/>
      <protection locked="0"/>
    </xf>
    <xf numFmtId="0" fontId="26" fillId="0" borderId="122" xfId="4" applyBorder="1" applyAlignment="1" applyProtection="1">
      <alignment vertical="center"/>
      <protection locked="0"/>
    </xf>
    <xf numFmtId="0" fontId="42" fillId="5" borderId="120" xfId="4" applyFont="1" applyFill="1" applyBorder="1" applyAlignment="1" applyProtection="1">
      <alignment horizontal="left" vertical="center"/>
      <protection locked="0"/>
    </xf>
    <xf numFmtId="0" fontId="42" fillId="0" borderId="68" xfId="4" applyFont="1" applyAlignment="1">
      <alignment horizontal="center" vertical="center"/>
    </xf>
    <xf numFmtId="168" fontId="38" fillId="5" borderId="122" xfId="4" applyNumberFormat="1" applyFont="1" applyFill="1" applyBorder="1" applyAlignment="1" applyProtection="1">
      <alignment vertical="center"/>
      <protection locked="0"/>
    </xf>
    <xf numFmtId="0" fontId="42" fillId="5" borderId="123" xfId="4" applyFont="1" applyFill="1" applyBorder="1" applyAlignment="1" applyProtection="1">
      <alignment horizontal="left" vertical="center"/>
      <protection locked="0"/>
    </xf>
    <xf numFmtId="0" fontId="42" fillId="0" borderId="114" xfId="4" applyFont="1" applyBorder="1" applyAlignment="1">
      <alignment horizontal="center" vertical="center"/>
    </xf>
    <xf numFmtId="0" fontId="26" fillId="0" borderId="114" xfId="4" applyBorder="1" applyAlignment="1">
      <alignment vertical="center"/>
    </xf>
    <xf numFmtId="167" fontId="42" fillId="0" borderId="114" xfId="4" applyNumberFormat="1" applyFont="1" applyBorder="1" applyAlignment="1">
      <alignment vertical="center"/>
    </xf>
    <xf numFmtId="167" fontId="42" fillId="0" borderId="124" xfId="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4" fontId="8" fillId="0" borderId="54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8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41" xfId="0" applyFont="1" applyFill="1" applyBorder="1" applyAlignment="1" applyProtection="1">
      <alignment horizontal="left" vertical="center"/>
      <protection locked="0"/>
    </xf>
    <xf numFmtId="0" fontId="3" fillId="3" borderId="56" xfId="0" applyFont="1" applyFill="1" applyBorder="1" applyAlignment="1" applyProtection="1">
      <alignment horizontal="left" vertical="center"/>
      <protection locked="0"/>
    </xf>
    <xf numFmtId="0" fontId="4" fillId="0" borderId="58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82" xfId="0" applyFont="1" applyBorder="1" applyAlignment="1">
      <alignment horizontal="left" vertical="center"/>
    </xf>
    <xf numFmtId="4" fontId="16" fillId="0" borderId="87" xfId="1" applyNumberFormat="1" applyFont="1" applyBorder="1" applyAlignment="1">
      <alignment horizontal="center" vertical="center" wrapText="1"/>
    </xf>
    <xf numFmtId="4" fontId="16" fillId="0" borderId="88" xfId="1" applyNumberFormat="1" applyFont="1" applyBorder="1" applyAlignment="1">
      <alignment horizontal="center" vertical="center" wrapText="1"/>
    </xf>
    <xf numFmtId="4" fontId="16" fillId="0" borderId="92" xfId="1" applyNumberFormat="1" applyFont="1" applyBorder="1" applyAlignment="1">
      <alignment horizontal="center" vertical="center" wrapText="1"/>
    </xf>
    <xf numFmtId="4" fontId="16" fillId="0" borderId="93" xfId="1" applyNumberFormat="1" applyFont="1" applyBorder="1" applyAlignment="1">
      <alignment horizontal="center" vertical="center" wrapText="1"/>
    </xf>
    <xf numFmtId="0" fontId="17" fillId="0" borderId="87" xfId="1" applyFont="1" applyBorder="1" applyAlignment="1">
      <alignment horizontal="left" vertical="top" wrapText="1"/>
    </xf>
    <xf numFmtId="0" fontId="17" fillId="0" borderId="89" xfId="1" applyFont="1" applyBorder="1" applyAlignment="1">
      <alignment horizontal="left" vertical="top"/>
    </xf>
    <xf numFmtId="0" fontId="17" fillId="0" borderId="92" xfId="1" applyFont="1" applyBorder="1" applyAlignment="1">
      <alignment horizontal="left" vertical="top"/>
    </xf>
    <xf numFmtId="0" fontId="17" fillId="0" borderId="94" xfId="1" applyFont="1" applyBorder="1" applyAlignment="1">
      <alignment horizontal="left" vertical="top"/>
    </xf>
    <xf numFmtId="0" fontId="21" fillId="7" borderId="101" xfId="1" applyFont="1" applyFill="1" applyBorder="1" applyAlignment="1">
      <alignment horizontal="center" vertical="center" wrapText="1"/>
    </xf>
    <xf numFmtId="0" fontId="21" fillId="7" borderId="102" xfId="1" applyFont="1" applyFill="1" applyBorder="1" applyAlignment="1">
      <alignment horizontal="center" vertical="center" wrapText="1"/>
    </xf>
    <xf numFmtId="0" fontId="31" fillId="0" borderId="68" xfId="4" applyFont="1" applyAlignment="1">
      <alignment horizontal="left" vertical="center" wrapText="1"/>
    </xf>
    <xf numFmtId="0" fontId="26" fillId="0" borderId="68" xfId="4" applyAlignment="1">
      <alignment vertical="center"/>
    </xf>
    <xf numFmtId="0" fontId="27" fillId="10" borderId="68" xfId="4" applyFont="1" applyFill="1" applyAlignment="1">
      <alignment horizontal="center" vertical="center"/>
    </xf>
    <xf numFmtId="0" fontId="26" fillId="0" borderId="68" xfId="4"/>
    <xf numFmtId="0" fontId="32" fillId="5" borderId="68" xfId="4" applyFont="1" applyFill="1" applyAlignment="1" applyProtection="1">
      <alignment horizontal="left" vertical="center"/>
      <protection locked="0"/>
    </xf>
    <xf numFmtId="0" fontId="32" fillId="0" borderId="68" xfId="4" applyFont="1" applyAlignment="1">
      <alignment horizontal="left" vertical="center"/>
    </xf>
    <xf numFmtId="0" fontId="32" fillId="0" borderId="68" xfId="4" applyFont="1" applyAlignment="1">
      <alignment horizontal="left" vertical="center" wrapText="1"/>
    </xf>
  </cellXfs>
  <cellStyles count="5">
    <cellStyle name="Měna 2" xfId="3" xr:uid="{CB3566C1-4F66-4912-922F-0E39A51B091E}"/>
    <cellStyle name="Normální" xfId="0" builtinId="0"/>
    <cellStyle name="Normální 2" xfId="2" xr:uid="{2E0E8730-C3F5-4508-9DB8-1629BCE3BCFC}"/>
    <cellStyle name="Normální 3" xfId="4" xr:uid="{A1BE3215-2082-4F14-8A8E-639FD350E9EB}"/>
    <cellStyle name="normální_estimatif tdr - FRANCO-TCHEQUE-indice2_rv" xfId="1" xr:uid="{A28AFF28-94AD-4292-9B27-BE30EA293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5FE3013C-CAC1-4775-AB5C-C8C0E03B8DA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zivatel\Desktop\&#218;prava%20-%20v&#253;stup%2021.3.2025\D1.4.a2_Cetoraz_Projekcni%20VV.xlsx" TargetMode="External"/><Relationship Id="rId1" Type="http://schemas.openxmlformats.org/officeDocument/2006/relationships/externalLinkPath" Target="D1.4.a2_Cetoraz_Projekcni%20V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droj tepla"/>
      <sheetName val="D.skupina"/>
      <sheetName val="BYT"/>
      <sheetName val="Kancelář 1"/>
      <sheetName val="Kancelář 2"/>
    </sheetNames>
    <sheetDataSet>
      <sheetData sheetId="0"/>
      <sheetData sheetId="1">
        <row r="8">
          <cell r="A8" t="str">
            <v>735001V</v>
          </cell>
        </row>
        <row r="18">
          <cell r="A18" t="str">
            <v>735151869V</v>
          </cell>
        </row>
        <row r="22">
          <cell r="A22" t="str">
            <v>73811954V</v>
          </cell>
        </row>
        <row r="23">
          <cell r="A23" t="str">
            <v>735002V</v>
          </cell>
        </row>
        <row r="29">
          <cell r="A29" t="str">
            <v>733163102V</v>
          </cell>
        </row>
        <row r="30">
          <cell r="A30" t="str">
            <v>733163103V</v>
          </cell>
        </row>
        <row r="31">
          <cell r="A31" t="str">
            <v>733163104V</v>
          </cell>
        </row>
        <row r="32">
          <cell r="A32" t="str">
            <v>733163105V</v>
          </cell>
        </row>
        <row r="36">
          <cell r="A36" t="str">
            <v>722181211V</v>
          </cell>
        </row>
        <row r="37">
          <cell r="A37" t="str">
            <v>722181211V</v>
          </cell>
        </row>
        <row r="38">
          <cell r="A38" t="str">
            <v>722181214V</v>
          </cell>
        </row>
        <row r="39">
          <cell r="A39" t="str">
            <v>722181214V</v>
          </cell>
        </row>
        <row r="42">
          <cell r="A42" t="str">
            <v>735003V</v>
          </cell>
        </row>
        <row r="43">
          <cell r="A43" t="str">
            <v>13211V</v>
          </cell>
        </row>
        <row r="44">
          <cell r="A44" t="str">
            <v>733001V</v>
          </cell>
        </row>
        <row r="47">
          <cell r="A47" t="str">
            <v>731001V</v>
          </cell>
        </row>
        <row r="48">
          <cell r="A48" t="str">
            <v>73319021V</v>
          </cell>
        </row>
        <row r="49">
          <cell r="A49" t="str">
            <v>22261913V</v>
          </cell>
        </row>
        <row r="51">
          <cell r="A51" t="str">
            <v>731003V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299" t="s">
        <v>0</v>
      </c>
      <c r="B1" s="300"/>
      <c r="C1" s="300"/>
      <c r="D1" s="300"/>
      <c r="E1" s="300"/>
      <c r="F1" s="300"/>
      <c r="G1" s="300"/>
      <c r="H1" s="300"/>
      <c r="I1" s="300"/>
    </row>
    <row r="2" spans="1:9" x14ac:dyDescent="0.25">
      <c r="A2" s="301" t="s">
        <v>1</v>
      </c>
      <c r="B2" s="302"/>
      <c r="C2" s="307" t="str">
        <f>'Stavební rozpočet'!C2</f>
        <v>Stavební úpravy objektu čp. 80 se změnou užívání</v>
      </c>
      <c r="D2" s="308"/>
      <c r="E2" s="298" t="s">
        <v>2</v>
      </c>
      <c r="F2" s="298" t="str">
        <f>'Stavební rozpočet'!I2</f>
        <v>Obec Cetoraz, Cetoraz 206, Cetoraz</v>
      </c>
      <c r="G2" s="302"/>
      <c r="H2" s="298" t="s">
        <v>3</v>
      </c>
      <c r="I2" s="304" t="s">
        <v>4</v>
      </c>
    </row>
    <row r="3" spans="1:9" ht="15" customHeight="1" x14ac:dyDescent="0.25">
      <c r="A3" s="303"/>
      <c r="B3" s="259"/>
      <c r="C3" s="309"/>
      <c r="D3" s="309"/>
      <c r="E3" s="259"/>
      <c r="F3" s="259"/>
      <c r="G3" s="259"/>
      <c r="H3" s="259"/>
      <c r="I3" s="305"/>
    </row>
    <row r="4" spans="1:9" x14ac:dyDescent="0.25">
      <c r="A4" s="296" t="s">
        <v>5</v>
      </c>
      <c r="B4" s="259"/>
      <c r="C4" s="258" t="str">
        <f>'Stavební rozpočet'!C4</f>
        <v xml:space="preserve"> </v>
      </c>
      <c r="D4" s="259"/>
      <c r="E4" s="258" t="s">
        <v>6</v>
      </c>
      <c r="F4" s="258" t="str">
        <f>'Stavební rozpočet'!I4</f>
        <v>Ing. František Kovář, Dlouhá Lhota 6, Chýnov</v>
      </c>
      <c r="G4" s="259"/>
      <c r="H4" s="258" t="s">
        <v>3</v>
      </c>
      <c r="I4" s="305" t="s">
        <v>7</v>
      </c>
    </row>
    <row r="5" spans="1:9" ht="15" customHeight="1" x14ac:dyDescent="0.25">
      <c r="A5" s="303"/>
      <c r="B5" s="259"/>
      <c r="C5" s="259"/>
      <c r="D5" s="259"/>
      <c r="E5" s="259"/>
      <c r="F5" s="259"/>
      <c r="G5" s="259"/>
      <c r="H5" s="259"/>
      <c r="I5" s="305"/>
    </row>
    <row r="6" spans="1:9" x14ac:dyDescent="0.25">
      <c r="A6" s="296" t="s">
        <v>8</v>
      </c>
      <c r="B6" s="259"/>
      <c r="C6" s="258" t="str">
        <f>'Stavební rozpočet'!C6</f>
        <v>Cetoraz st.p.č. 89</v>
      </c>
      <c r="D6" s="259"/>
      <c r="E6" s="258" t="s">
        <v>9</v>
      </c>
      <c r="F6" s="258" t="str">
        <f>'Stavební rozpočet'!I6</f>
        <v> </v>
      </c>
      <c r="G6" s="259"/>
      <c r="H6" s="258" t="s">
        <v>3</v>
      </c>
      <c r="I6" s="305" t="s">
        <v>4</v>
      </c>
    </row>
    <row r="7" spans="1:9" ht="15" customHeight="1" x14ac:dyDescent="0.25">
      <c r="A7" s="303"/>
      <c r="B7" s="259"/>
      <c r="C7" s="259"/>
      <c r="D7" s="259"/>
      <c r="E7" s="259"/>
      <c r="F7" s="259"/>
      <c r="G7" s="259"/>
      <c r="H7" s="259"/>
      <c r="I7" s="305"/>
    </row>
    <row r="8" spans="1:9" x14ac:dyDescent="0.25">
      <c r="A8" s="296" t="s">
        <v>10</v>
      </c>
      <c r="B8" s="259"/>
      <c r="C8" s="258" t="str">
        <f>'Stavební rozpočet'!G4</f>
        <v>02.12.2024</v>
      </c>
      <c r="D8" s="259"/>
      <c r="E8" s="258" t="s">
        <v>11</v>
      </c>
      <c r="F8" s="258" t="str">
        <f>'Stavební rozpočet'!G6</f>
        <v xml:space="preserve"> </v>
      </c>
      <c r="G8" s="259"/>
      <c r="H8" s="259" t="s">
        <v>12</v>
      </c>
      <c r="I8" s="306">
        <v>294</v>
      </c>
    </row>
    <row r="9" spans="1:9" x14ac:dyDescent="0.25">
      <c r="A9" s="303"/>
      <c r="B9" s="259"/>
      <c r="C9" s="259"/>
      <c r="D9" s="259"/>
      <c r="E9" s="259"/>
      <c r="F9" s="259"/>
      <c r="G9" s="259"/>
      <c r="H9" s="259"/>
      <c r="I9" s="305"/>
    </row>
    <row r="10" spans="1:9" x14ac:dyDescent="0.25">
      <c r="A10" s="296" t="s">
        <v>13</v>
      </c>
      <c r="B10" s="259"/>
      <c r="C10" s="258" t="str">
        <f>'Stavební rozpočet'!C8</f>
        <v xml:space="preserve"> </v>
      </c>
      <c r="D10" s="259"/>
      <c r="E10" s="258" t="s">
        <v>14</v>
      </c>
      <c r="F10" s="258" t="str">
        <f>'Stavební rozpočet'!I8</f>
        <v>Alen Kadlecová</v>
      </c>
      <c r="G10" s="259"/>
      <c r="H10" s="259" t="s">
        <v>15</v>
      </c>
      <c r="I10" s="290" t="str">
        <f>'Stavební rozpočet'!G8</f>
        <v>02.12.2024</v>
      </c>
    </row>
    <row r="11" spans="1:9" x14ac:dyDescent="0.25">
      <c r="A11" s="297"/>
      <c r="B11" s="295"/>
      <c r="C11" s="295"/>
      <c r="D11" s="295"/>
      <c r="E11" s="295"/>
      <c r="F11" s="295"/>
      <c r="G11" s="295"/>
      <c r="H11" s="295"/>
      <c r="I11" s="291"/>
    </row>
    <row r="12" spans="1:9" ht="23.25" x14ac:dyDescent="0.25">
      <c r="A12" s="292" t="s">
        <v>16</v>
      </c>
      <c r="B12" s="292"/>
      <c r="C12" s="292"/>
      <c r="D12" s="292"/>
      <c r="E12" s="292"/>
      <c r="F12" s="292"/>
      <c r="G12" s="292"/>
      <c r="H12" s="292"/>
      <c r="I12" s="292"/>
    </row>
    <row r="13" spans="1:9" ht="26.25" customHeight="1" x14ac:dyDescent="0.25">
      <c r="A13" s="6" t="s">
        <v>17</v>
      </c>
      <c r="B13" s="293" t="s">
        <v>18</v>
      </c>
      <c r="C13" s="294"/>
      <c r="D13" s="7" t="s">
        <v>19</v>
      </c>
      <c r="E13" s="293" t="s">
        <v>20</v>
      </c>
      <c r="F13" s="294"/>
      <c r="G13" s="7" t="s">
        <v>21</v>
      </c>
      <c r="H13" s="293" t="s">
        <v>22</v>
      </c>
      <c r="I13" s="294"/>
    </row>
    <row r="14" spans="1:9" ht="15.75" x14ac:dyDescent="0.25">
      <c r="A14" s="8" t="s">
        <v>23</v>
      </c>
      <c r="B14" s="9" t="s">
        <v>24</v>
      </c>
      <c r="C14" s="10">
        <f>SUM('Stavební rozpočet'!AB12:AB354)</f>
        <v>0</v>
      </c>
      <c r="D14" s="280" t="s">
        <v>25</v>
      </c>
      <c r="E14" s="281"/>
      <c r="F14" s="10">
        <f>VORN!I15</f>
        <v>0</v>
      </c>
      <c r="G14" s="280" t="s">
        <v>26</v>
      </c>
      <c r="H14" s="281"/>
      <c r="I14" s="11">
        <f>VORN!I21</f>
        <v>0</v>
      </c>
    </row>
    <row r="15" spans="1:9" ht="15.75" x14ac:dyDescent="0.25">
      <c r="A15" s="12" t="s">
        <v>4</v>
      </c>
      <c r="B15" s="9" t="s">
        <v>27</v>
      </c>
      <c r="C15" s="10">
        <f>SUM('Stavební rozpočet'!AC12:AC354)</f>
        <v>0</v>
      </c>
      <c r="D15" s="280" t="s">
        <v>28</v>
      </c>
      <c r="E15" s="281"/>
      <c r="F15" s="10">
        <f>VORN!I16</f>
        <v>0</v>
      </c>
      <c r="G15" s="280" t="s">
        <v>29</v>
      </c>
      <c r="H15" s="281"/>
      <c r="I15" s="11">
        <f>VORN!I22</f>
        <v>0</v>
      </c>
    </row>
    <row r="16" spans="1:9" ht="15.75" x14ac:dyDescent="0.25">
      <c r="A16" s="8" t="s">
        <v>30</v>
      </c>
      <c r="B16" s="9" t="s">
        <v>24</v>
      </c>
      <c r="C16" s="10">
        <f>SUM('Stavební rozpočet'!AD12:AD354)</f>
        <v>0</v>
      </c>
      <c r="D16" s="280" t="s">
        <v>31</v>
      </c>
      <c r="E16" s="281"/>
      <c r="F16" s="10">
        <f>VORN!I17</f>
        <v>0</v>
      </c>
      <c r="G16" s="280" t="s">
        <v>32</v>
      </c>
      <c r="H16" s="281"/>
      <c r="I16" s="11">
        <f>VORN!I23</f>
        <v>0</v>
      </c>
    </row>
    <row r="17" spans="1:9" ht="15.75" x14ac:dyDescent="0.25">
      <c r="A17" s="12" t="s">
        <v>4</v>
      </c>
      <c r="B17" s="9" t="s">
        <v>27</v>
      </c>
      <c r="C17" s="10">
        <f>SUM('Stavební rozpočet'!AE12:AE354)</f>
        <v>0</v>
      </c>
      <c r="D17" s="280" t="s">
        <v>4</v>
      </c>
      <c r="E17" s="281"/>
      <c r="F17" s="11" t="s">
        <v>4</v>
      </c>
      <c r="G17" s="280" t="s">
        <v>33</v>
      </c>
      <c r="H17" s="281"/>
      <c r="I17" s="11">
        <f>VORN!I24</f>
        <v>0</v>
      </c>
    </row>
    <row r="18" spans="1:9" ht="15.75" x14ac:dyDescent="0.25">
      <c r="A18" s="8" t="s">
        <v>34</v>
      </c>
      <c r="B18" s="9" t="s">
        <v>24</v>
      </c>
      <c r="C18" s="10">
        <f>SUM('Stavební rozpočet'!AF12:AF354)</f>
        <v>0</v>
      </c>
      <c r="D18" s="280" t="s">
        <v>4</v>
      </c>
      <c r="E18" s="281"/>
      <c r="F18" s="11" t="s">
        <v>4</v>
      </c>
      <c r="G18" s="280" t="s">
        <v>35</v>
      </c>
      <c r="H18" s="281"/>
      <c r="I18" s="11">
        <f>VORN!I25</f>
        <v>0</v>
      </c>
    </row>
    <row r="19" spans="1:9" ht="15.75" x14ac:dyDescent="0.25">
      <c r="A19" s="12" t="s">
        <v>4</v>
      </c>
      <c r="B19" s="9" t="s">
        <v>27</v>
      </c>
      <c r="C19" s="10">
        <f>SUM('Stavební rozpočet'!AG12:AG354)</f>
        <v>0</v>
      </c>
      <c r="D19" s="280" t="s">
        <v>4</v>
      </c>
      <c r="E19" s="281"/>
      <c r="F19" s="11" t="s">
        <v>4</v>
      </c>
      <c r="G19" s="280" t="s">
        <v>36</v>
      </c>
      <c r="H19" s="281"/>
      <c r="I19" s="11">
        <f>VORN!I26</f>
        <v>0</v>
      </c>
    </row>
    <row r="20" spans="1:9" ht="15.75" x14ac:dyDescent="0.25">
      <c r="A20" s="272" t="s">
        <v>37</v>
      </c>
      <c r="B20" s="273"/>
      <c r="C20" s="10">
        <f>SUM('Stavební rozpočet'!AH12:AH354)</f>
        <v>0</v>
      </c>
      <c r="D20" s="280" t="s">
        <v>4</v>
      </c>
      <c r="E20" s="281"/>
      <c r="F20" s="11" t="s">
        <v>4</v>
      </c>
      <c r="G20" s="280" t="s">
        <v>4</v>
      </c>
      <c r="H20" s="281"/>
      <c r="I20" s="11" t="s">
        <v>4</v>
      </c>
    </row>
    <row r="21" spans="1:9" ht="15.75" x14ac:dyDescent="0.25">
      <c r="A21" s="287" t="s">
        <v>38</v>
      </c>
      <c r="B21" s="288"/>
      <c r="C21" s="13">
        <f>SUM('Stavební rozpočet'!Z12:Z354)</f>
        <v>0</v>
      </c>
      <c r="D21" s="282" t="s">
        <v>4</v>
      </c>
      <c r="E21" s="283"/>
      <c r="F21" s="14" t="s">
        <v>4</v>
      </c>
      <c r="G21" s="282" t="s">
        <v>4</v>
      </c>
      <c r="H21" s="283"/>
      <c r="I21" s="14" t="s">
        <v>4</v>
      </c>
    </row>
    <row r="22" spans="1:9" ht="16.5" customHeight="1" x14ac:dyDescent="0.25">
      <c r="A22" s="289" t="s">
        <v>39</v>
      </c>
      <c r="B22" s="285"/>
      <c r="C22" s="15">
        <f>SUM(C14:C21)</f>
        <v>0</v>
      </c>
      <c r="D22" s="284" t="s">
        <v>40</v>
      </c>
      <c r="E22" s="285"/>
      <c r="F22" s="15">
        <f>SUM(F14:F21)</f>
        <v>0</v>
      </c>
      <c r="G22" s="284" t="s">
        <v>41</v>
      </c>
      <c r="H22" s="285"/>
      <c r="I22" s="15">
        <f>SUM(I14:I21)</f>
        <v>0</v>
      </c>
    </row>
    <row r="23" spans="1:9" ht="15.75" x14ac:dyDescent="0.25">
      <c r="D23" s="272" t="s">
        <v>42</v>
      </c>
      <c r="E23" s="273"/>
      <c r="F23" s="16">
        <v>0</v>
      </c>
      <c r="G23" s="286" t="s">
        <v>43</v>
      </c>
      <c r="H23" s="273"/>
      <c r="I23" s="10">
        <v>0</v>
      </c>
    </row>
    <row r="24" spans="1:9" ht="15.75" x14ac:dyDescent="0.25">
      <c r="G24" s="272" t="s">
        <v>44</v>
      </c>
      <c r="H24" s="273"/>
      <c r="I24" s="13">
        <f>vorn_sum</f>
        <v>0</v>
      </c>
    </row>
    <row r="25" spans="1:9" ht="15.75" x14ac:dyDescent="0.25">
      <c r="G25" s="272" t="s">
        <v>45</v>
      </c>
      <c r="H25" s="273"/>
      <c r="I25" s="15">
        <v>0</v>
      </c>
    </row>
    <row r="27" spans="1:9" ht="15.75" x14ac:dyDescent="0.25">
      <c r="A27" s="274" t="s">
        <v>46</v>
      </c>
      <c r="B27" s="275"/>
      <c r="C27" s="17">
        <f>SUM('Stavební rozpočet'!AJ12:AJ354)</f>
        <v>0</v>
      </c>
    </row>
    <row r="28" spans="1:9" ht="15.75" x14ac:dyDescent="0.25">
      <c r="A28" s="276" t="s">
        <v>47</v>
      </c>
      <c r="B28" s="277"/>
      <c r="C28" s="18">
        <f>SUM('Stavební rozpočet'!AK12:AK354)</f>
        <v>0</v>
      </c>
      <c r="D28" s="278" t="s">
        <v>48</v>
      </c>
      <c r="E28" s="275"/>
      <c r="F28" s="17">
        <f>ROUND(C28*(12/100),2)</f>
        <v>0</v>
      </c>
      <c r="G28" s="278" t="s">
        <v>49</v>
      </c>
      <c r="H28" s="275"/>
      <c r="I28" s="17">
        <f>SUM(C27:C29)</f>
        <v>0</v>
      </c>
    </row>
    <row r="29" spans="1:9" ht="15.75" x14ac:dyDescent="0.25">
      <c r="A29" s="276" t="s">
        <v>50</v>
      </c>
      <c r="B29" s="277"/>
      <c r="C29" s="18">
        <f>SUM('Stavební rozpočet'!AL12:AL354)</f>
        <v>0</v>
      </c>
      <c r="D29" s="279" t="s">
        <v>51</v>
      </c>
      <c r="E29" s="277"/>
      <c r="F29" s="18">
        <f>ROUND(C29*(21/100),2)</f>
        <v>0</v>
      </c>
      <c r="G29" s="279" t="s">
        <v>52</v>
      </c>
      <c r="H29" s="277"/>
      <c r="I29" s="18">
        <f>SUM(F28:F29)+I28</f>
        <v>0</v>
      </c>
    </row>
    <row r="31" spans="1:9" x14ac:dyDescent="0.25">
      <c r="A31" s="269" t="s">
        <v>53</v>
      </c>
      <c r="B31" s="261"/>
      <c r="C31" s="262"/>
      <c r="D31" s="260" t="s">
        <v>54</v>
      </c>
      <c r="E31" s="261"/>
      <c r="F31" s="262"/>
      <c r="G31" s="260" t="s">
        <v>55</v>
      </c>
      <c r="H31" s="261"/>
      <c r="I31" s="262"/>
    </row>
    <row r="32" spans="1:9" x14ac:dyDescent="0.25">
      <c r="A32" s="270" t="s">
        <v>4</v>
      </c>
      <c r="B32" s="264"/>
      <c r="C32" s="265"/>
      <c r="D32" s="263" t="s">
        <v>4</v>
      </c>
      <c r="E32" s="264"/>
      <c r="F32" s="265"/>
      <c r="G32" s="263" t="s">
        <v>4</v>
      </c>
      <c r="H32" s="264"/>
      <c r="I32" s="265"/>
    </row>
    <row r="33" spans="1:9" x14ac:dyDescent="0.25">
      <c r="A33" s="270" t="s">
        <v>4</v>
      </c>
      <c r="B33" s="264"/>
      <c r="C33" s="265"/>
      <c r="D33" s="263" t="s">
        <v>4</v>
      </c>
      <c r="E33" s="264"/>
      <c r="F33" s="265"/>
      <c r="G33" s="263" t="s">
        <v>4</v>
      </c>
      <c r="H33" s="264"/>
      <c r="I33" s="265"/>
    </row>
    <row r="34" spans="1:9" x14ac:dyDescent="0.25">
      <c r="A34" s="270" t="s">
        <v>4</v>
      </c>
      <c r="B34" s="264"/>
      <c r="C34" s="265"/>
      <c r="D34" s="263" t="s">
        <v>4</v>
      </c>
      <c r="E34" s="264"/>
      <c r="F34" s="265"/>
      <c r="G34" s="263" t="s">
        <v>4</v>
      </c>
      <c r="H34" s="264"/>
      <c r="I34" s="265"/>
    </row>
    <row r="35" spans="1:9" x14ac:dyDescent="0.25">
      <c r="A35" s="271" t="s">
        <v>56</v>
      </c>
      <c r="B35" s="267"/>
      <c r="C35" s="268"/>
      <c r="D35" s="266" t="s">
        <v>56</v>
      </c>
      <c r="E35" s="267"/>
      <c r="F35" s="268"/>
      <c r="G35" s="266" t="s">
        <v>56</v>
      </c>
      <c r="H35" s="267"/>
      <c r="I35" s="268"/>
    </row>
    <row r="36" spans="1:9" x14ac:dyDescent="0.25">
      <c r="A36" s="19" t="s">
        <v>57</v>
      </c>
    </row>
    <row r="37" spans="1:9" ht="81" customHeight="1" x14ac:dyDescent="0.25">
      <c r="A37" s="258" t="s">
        <v>58</v>
      </c>
      <c r="B37" s="259"/>
      <c r="C37" s="259"/>
      <c r="D37" s="259"/>
      <c r="E37" s="259"/>
      <c r="F37" s="259"/>
      <c r="G37" s="259"/>
      <c r="H37" s="259"/>
      <c r="I37" s="259"/>
    </row>
  </sheetData>
  <sheetProtection password="CC89" sheet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299" t="s">
        <v>59</v>
      </c>
      <c r="B1" s="300"/>
      <c r="C1" s="300"/>
      <c r="D1" s="300"/>
      <c r="E1" s="300"/>
      <c r="F1" s="300"/>
      <c r="G1" s="300"/>
      <c r="H1" s="300"/>
      <c r="I1" s="300"/>
    </row>
    <row r="2" spans="1:9" x14ac:dyDescent="0.25">
      <c r="A2" s="301" t="s">
        <v>1</v>
      </c>
      <c r="B2" s="302"/>
      <c r="C2" s="307" t="str">
        <f>'Stavební rozpočet'!C2</f>
        <v>Stavební úpravy objektu čp. 80 se změnou užívání</v>
      </c>
      <c r="D2" s="308"/>
      <c r="E2" s="298" t="s">
        <v>2</v>
      </c>
      <c r="F2" s="298" t="str">
        <f>'Stavební rozpočet'!I2</f>
        <v>Obec Cetoraz, Cetoraz 206, Cetoraz</v>
      </c>
      <c r="G2" s="302"/>
      <c r="H2" s="298" t="s">
        <v>3</v>
      </c>
      <c r="I2" s="304" t="s">
        <v>4</v>
      </c>
    </row>
    <row r="3" spans="1:9" ht="15" customHeight="1" x14ac:dyDescent="0.25">
      <c r="A3" s="303"/>
      <c r="B3" s="259"/>
      <c r="C3" s="309"/>
      <c r="D3" s="309"/>
      <c r="E3" s="259"/>
      <c r="F3" s="259"/>
      <c r="G3" s="259"/>
      <c r="H3" s="259"/>
      <c r="I3" s="305"/>
    </row>
    <row r="4" spans="1:9" x14ac:dyDescent="0.25">
      <c r="A4" s="296" t="s">
        <v>5</v>
      </c>
      <c r="B4" s="259"/>
      <c r="C4" s="258" t="str">
        <f>'Stavební rozpočet'!C4</f>
        <v xml:space="preserve"> </v>
      </c>
      <c r="D4" s="259"/>
      <c r="E4" s="258" t="s">
        <v>6</v>
      </c>
      <c r="F4" s="258" t="str">
        <f>'Stavební rozpočet'!I4</f>
        <v>Ing. František Kovář, Dlouhá Lhota 6, Chýnov</v>
      </c>
      <c r="G4" s="259"/>
      <c r="H4" s="258" t="s">
        <v>3</v>
      </c>
      <c r="I4" s="305" t="s">
        <v>7</v>
      </c>
    </row>
    <row r="5" spans="1:9" ht="15" customHeight="1" x14ac:dyDescent="0.25">
      <c r="A5" s="303"/>
      <c r="B5" s="259"/>
      <c r="C5" s="259"/>
      <c r="D5" s="259"/>
      <c r="E5" s="259"/>
      <c r="F5" s="259"/>
      <c r="G5" s="259"/>
      <c r="H5" s="259"/>
      <c r="I5" s="305"/>
    </row>
    <row r="6" spans="1:9" x14ac:dyDescent="0.25">
      <c r="A6" s="296" t="s">
        <v>8</v>
      </c>
      <c r="B6" s="259"/>
      <c r="C6" s="258" t="str">
        <f>'Stavební rozpočet'!C6</f>
        <v>Cetoraz st.p.č. 89</v>
      </c>
      <c r="D6" s="259"/>
      <c r="E6" s="258" t="s">
        <v>9</v>
      </c>
      <c r="F6" s="258" t="str">
        <f>'Stavební rozpočet'!I6</f>
        <v> </v>
      </c>
      <c r="G6" s="259"/>
      <c r="H6" s="258" t="s">
        <v>3</v>
      </c>
      <c r="I6" s="305" t="s">
        <v>4</v>
      </c>
    </row>
    <row r="7" spans="1:9" ht="15" customHeight="1" x14ac:dyDescent="0.25">
      <c r="A7" s="303"/>
      <c r="B7" s="259"/>
      <c r="C7" s="259"/>
      <c r="D7" s="259"/>
      <c r="E7" s="259"/>
      <c r="F7" s="259"/>
      <c r="G7" s="259"/>
      <c r="H7" s="259"/>
      <c r="I7" s="305"/>
    </row>
    <row r="8" spans="1:9" x14ac:dyDescent="0.25">
      <c r="A8" s="296" t="s">
        <v>10</v>
      </c>
      <c r="B8" s="259"/>
      <c r="C8" s="258" t="str">
        <f>'Stavební rozpočet'!G4</f>
        <v>02.12.2024</v>
      </c>
      <c r="D8" s="259"/>
      <c r="E8" s="258" t="s">
        <v>11</v>
      </c>
      <c r="F8" s="258" t="str">
        <f>'Stavební rozpočet'!G6</f>
        <v xml:space="preserve"> </v>
      </c>
      <c r="G8" s="259"/>
      <c r="H8" s="259" t="s">
        <v>12</v>
      </c>
      <c r="I8" s="306">
        <v>294</v>
      </c>
    </row>
    <row r="9" spans="1:9" x14ac:dyDescent="0.25">
      <c r="A9" s="303"/>
      <c r="B9" s="259"/>
      <c r="C9" s="259"/>
      <c r="D9" s="259"/>
      <c r="E9" s="259"/>
      <c r="F9" s="259"/>
      <c r="G9" s="259"/>
      <c r="H9" s="259"/>
      <c r="I9" s="305"/>
    </row>
    <row r="10" spans="1:9" x14ac:dyDescent="0.25">
      <c r="A10" s="296" t="s">
        <v>13</v>
      </c>
      <c r="B10" s="259"/>
      <c r="C10" s="258" t="str">
        <f>'Stavební rozpočet'!C8</f>
        <v xml:space="preserve"> </v>
      </c>
      <c r="D10" s="259"/>
      <c r="E10" s="258" t="s">
        <v>14</v>
      </c>
      <c r="F10" s="258" t="str">
        <f>'Stavební rozpočet'!I8</f>
        <v>Alen Kadlecová</v>
      </c>
      <c r="G10" s="259"/>
      <c r="H10" s="259" t="s">
        <v>15</v>
      </c>
      <c r="I10" s="290" t="str">
        <f>'Stavební rozpočet'!G8</f>
        <v>02.12.2024</v>
      </c>
    </row>
    <row r="11" spans="1:9" x14ac:dyDescent="0.25">
      <c r="A11" s="297"/>
      <c r="B11" s="295"/>
      <c r="C11" s="295"/>
      <c r="D11" s="295"/>
      <c r="E11" s="295"/>
      <c r="F11" s="295"/>
      <c r="G11" s="295"/>
      <c r="H11" s="295"/>
      <c r="I11" s="291"/>
    </row>
    <row r="13" spans="1:9" ht="15.75" x14ac:dyDescent="0.25">
      <c r="A13" s="325" t="s">
        <v>60</v>
      </c>
      <c r="B13" s="325"/>
      <c r="C13" s="325"/>
      <c r="D13" s="325"/>
      <c r="E13" s="325"/>
    </row>
    <row r="14" spans="1:9" x14ac:dyDescent="0.25">
      <c r="A14" s="326" t="s">
        <v>61</v>
      </c>
      <c r="B14" s="327"/>
      <c r="C14" s="327"/>
      <c r="D14" s="327"/>
      <c r="E14" s="328"/>
      <c r="F14" s="20" t="s">
        <v>62</v>
      </c>
      <c r="G14" s="20" t="s">
        <v>63</v>
      </c>
      <c r="H14" s="20" t="s">
        <v>64</v>
      </c>
      <c r="I14" s="20" t="s">
        <v>62</v>
      </c>
    </row>
    <row r="15" spans="1:9" x14ac:dyDescent="0.25">
      <c r="A15" s="310" t="s">
        <v>25</v>
      </c>
      <c r="B15" s="311"/>
      <c r="C15" s="311"/>
      <c r="D15" s="311"/>
      <c r="E15" s="312"/>
      <c r="F15" s="21">
        <v>0</v>
      </c>
      <c r="G15" s="22" t="s">
        <v>4</v>
      </c>
      <c r="H15" s="22" t="s">
        <v>4</v>
      </c>
      <c r="I15" s="21">
        <f>F15</f>
        <v>0</v>
      </c>
    </row>
    <row r="16" spans="1:9" x14ac:dyDescent="0.25">
      <c r="A16" s="310" t="s">
        <v>28</v>
      </c>
      <c r="B16" s="311"/>
      <c r="C16" s="311"/>
      <c r="D16" s="311"/>
      <c r="E16" s="312"/>
      <c r="F16" s="21">
        <v>0</v>
      </c>
      <c r="G16" s="22" t="s">
        <v>4</v>
      </c>
      <c r="H16" s="22" t="s">
        <v>4</v>
      </c>
      <c r="I16" s="21">
        <f>F16</f>
        <v>0</v>
      </c>
    </row>
    <row r="17" spans="1:9" x14ac:dyDescent="0.25">
      <c r="A17" s="313" t="s">
        <v>31</v>
      </c>
      <c r="B17" s="314"/>
      <c r="C17" s="314"/>
      <c r="D17" s="314"/>
      <c r="E17" s="315"/>
      <c r="F17" s="23">
        <v>0</v>
      </c>
      <c r="G17" s="24" t="s">
        <v>4</v>
      </c>
      <c r="H17" s="24" t="s">
        <v>4</v>
      </c>
      <c r="I17" s="23">
        <f>F17</f>
        <v>0</v>
      </c>
    </row>
    <row r="18" spans="1:9" x14ac:dyDescent="0.25">
      <c r="A18" s="316" t="s">
        <v>65</v>
      </c>
      <c r="B18" s="317"/>
      <c r="C18" s="317"/>
      <c r="D18" s="317"/>
      <c r="E18" s="318"/>
      <c r="F18" s="25" t="s">
        <v>4</v>
      </c>
      <c r="G18" s="26" t="s">
        <v>4</v>
      </c>
      <c r="H18" s="26" t="s">
        <v>4</v>
      </c>
      <c r="I18" s="27">
        <f>SUM(I15:I17)</f>
        <v>0</v>
      </c>
    </row>
    <row r="20" spans="1:9" x14ac:dyDescent="0.25">
      <c r="A20" s="326" t="s">
        <v>22</v>
      </c>
      <c r="B20" s="327"/>
      <c r="C20" s="327"/>
      <c r="D20" s="327"/>
      <c r="E20" s="328"/>
      <c r="F20" s="20" t="s">
        <v>62</v>
      </c>
      <c r="G20" s="20" t="s">
        <v>63</v>
      </c>
      <c r="H20" s="20" t="s">
        <v>64</v>
      </c>
      <c r="I20" s="20" t="s">
        <v>62</v>
      </c>
    </row>
    <row r="21" spans="1:9" x14ac:dyDescent="0.25">
      <c r="A21" s="310" t="s">
        <v>26</v>
      </c>
      <c r="B21" s="311"/>
      <c r="C21" s="311"/>
      <c r="D21" s="311"/>
      <c r="E21" s="312"/>
      <c r="F21" s="21">
        <v>0</v>
      </c>
      <c r="G21" s="22" t="s">
        <v>4</v>
      </c>
      <c r="H21" s="22" t="s">
        <v>4</v>
      </c>
      <c r="I21" s="21">
        <f t="shared" ref="I21:I26" si="0">F21</f>
        <v>0</v>
      </c>
    </row>
    <row r="22" spans="1:9" x14ac:dyDescent="0.25">
      <c r="A22" s="310" t="s">
        <v>29</v>
      </c>
      <c r="B22" s="311"/>
      <c r="C22" s="311"/>
      <c r="D22" s="311"/>
      <c r="E22" s="312"/>
      <c r="F22" s="21">
        <v>0</v>
      </c>
      <c r="G22" s="22" t="s">
        <v>4</v>
      </c>
      <c r="H22" s="22" t="s">
        <v>4</v>
      </c>
      <c r="I22" s="21">
        <f t="shared" si="0"/>
        <v>0</v>
      </c>
    </row>
    <row r="23" spans="1:9" x14ac:dyDescent="0.25">
      <c r="A23" s="310" t="s">
        <v>32</v>
      </c>
      <c r="B23" s="311"/>
      <c r="C23" s="311"/>
      <c r="D23" s="311"/>
      <c r="E23" s="312"/>
      <c r="F23" s="21">
        <v>0</v>
      </c>
      <c r="G23" s="22" t="s">
        <v>4</v>
      </c>
      <c r="H23" s="22" t="s">
        <v>4</v>
      </c>
      <c r="I23" s="21">
        <f t="shared" si="0"/>
        <v>0</v>
      </c>
    </row>
    <row r="24" spans="1:9" x14ac:dyDescent="0.25">
      <c r="A24" s="310" t="s">
        <v>33</v>
      </c>
      <c r="B24" s="311"/>
      <c r="C24" s="311"/>
      <c r="D24" s="311"/>
      <c r="E24" s="312"/>
      <c r="F24" s="21">
        <v>0</v>
      </c>
      <c r="G24" s="22" t="s">
        <v>4</v>
      </c>
      <c r="H24" s="22" t="s">
        <v>4</v>
      </c>
      <c r="I24" s="21">
        <f t="shared" si="0"/>
        <v>0</v>
      </c>
    </row>
    <row r="25" spans="1:9" x14ac:dyDescent="0.25">
      <c r="A25" s="310" t="s">
        <v>35</v>
      </c>
      <c r="B25" s="311"/>
      <c r="C25" s="311"/>
      <c r="D25" s="311"/>
      <c r="E25" s="312"/>
      <c r="F25" s="21">
        <v>0</v>
      </c>
      <c r="G25" s="22" t="s">
        <v>4</v>
      </c>
      <c r="H25" s="22" t="s">
        <v>4</v>
      </c>
      <c r="I25" s="21">
        <f t="shared" si="0"/>
        <v>0</v>
      </c>
    </row>
    <row r="26" spans="1:9" x14ac:dyDescent="0.25">
      <c r="A26" s="313" t="s">
        <v>36</v>
      </c>
      <c r="B26" s="314"/>
      <c r="C26" s="314"/>
      <c r="D26" s="314"/>
      <c r="E26" s="315"/>
      <c r="F26" s="23">
        <v>0</v>
      </c>
      <c r="G26" s="24" t="s">
        <v>4</v>
      </c>
      <c r="H26" s="24" t="s">
        <v>4</v>
      </c>
      <c r="I26" s="23">
        <f t="shared" si="0"/>
        <v>0</v>
      </c>
    </row>
    <row r="27" spans="1:9" x14ac:dyDescent="0.25">
      <c r="A27" s="316" t="s">
        <v>66</v>
      </c>
      <c r="B27" s="317"/>
      <c r="C27" s="317"/>
      <c r="D27" s="317"/>
      <c r="E27" s="318"/>
      <c r="F27" s="25" t="s">
        <v>4</v>
      </c>
      <c r="G27" s="26" t="s">
        <v>4</v>
      </c>
      <c r="H27" s="26" t="s">
        <v>4</v>
      </c>
      <c r="I27" s="27">
        <f>SUM(I21:I26)</f>
        <v>0</v>
      </c>
    </row>
    <row r="29" spans="1:9" ht="15.75" x14ac:dyDescent="0.25">
      <c r="A29" s="319" t="s">
        <v>67</v>
      </c>
      <c r="B29" s="320"/>
      <c r="C29" s="320"/>
      <c r="D29" s="320"/>
      <c r="E29" s="321"/>
      <c r="F29" s="322">
        <f>I18+I27</f>
        <v>0</v>
      </c>
      <c r="G29" s="323"/>
      <c r="H29" s="323"/>
      <c r="I29" s="324"/>
    </row>
    <row r="33" spans="1:9" ht="15.75" x14ac:dyDescent="0.25">
      <c r="A33" s="325" t="s">
        <v>68</v>
      </c>
      <c r="B33" s="325"/>
      <c r="C33" s="325"/>
      <c r="D33" s="325"/>
      <c r="E33" s="325"/>
    </row>
    <row r="34" spans="1:9" x14ac:dyDescent="0.25">
      <c r="A34" s="326" t="s">
        <v>69</v>
      </c>
      <c r="B34" s="327"/>
      <c r="C34" s="327"/>
      <c r="D34" s="327"/>
      <c r="E34" s="328"/>
      <c r="F34" s="20" t="s">
        <v>62</v>
      </c>
      <c r="G34" s="20" t="s">
        <v>63</v>
      </c>
      <c r="H34" s="20" t="s">
        <v>64</v>
      </c>
      <c r="I34" s="20" t="s">
        <v>62</v>
      </c>
    </row>
    <row r="35" spans="1:9" x14ac:dyDescent="0.25">
      <c r="A35" s="310" t="s">
        <v>70</v>
      </c>
      <c r="B35" s="311"/>
      <c r="C35" s="311"/>
      <c r="D35" s="311"/>
      <c r="E35" s="312"/>
      <c r="F35" s="21">
        <f>SUM('Stavební rozpočet'!BM12:BM354)</f>
        <v>0</v>
      </c>
      <c r="G35" s="22" t="s">
        <v>4</v>
      </c>
      <c r="H35" s="22" t="s">
        <v>4</v>
      </c>
      <c r="I35" s="21">
        <f t="shared" ref="I35:I44" si="1">F35</f>
        <v>0</v>
      </c>
    </row>
    <row r="36" spans="1:9" x14ac:dyDescent="0.25">
      <c r="A36" s="310" t="s">
        <v>71</v>
      </c>
      <c r="B36" s="311"/>
      <c r="C36" s="311"/>
      <c r="D36" s="311"/>
      <c r="E36" s="312"/>
      <c r="F36" s="21">
        <f>SUM('Stavební rozpočet'!BN12:BN354)</f>
        <v>0</v>
      </c>
      <c r="G36" s="22" t="s">
        <v>4</v>
      </c>
      <c r="H36" s="22" t="s">
        <v>4</v>
      </c>
      <c r="I36" s="21">
        <f t="shared" si="1"/>
        <v>0</v>
      </c>
    </row>
    <row r="37" spans="1:9" x14ac:dyDescent="0.25">
      <c r="A37" s="310" t="s">
        <v>26</v>
      </c>
      <c r="B37" s="311"/>
      <c r="C37" s="311"/>
      <c r="D37" s="311"/>
      <c r="E37" s="312"/>
      <c r="F37" s="21">
        <f>SUM('Stavební rozpočet'!BO12:BO354)</f>
        <v>0</v>
      </c>
      <c r="G37" s="22" t="s">
        <v>4</v>
      </c>
      <c r="H37" s="22" t="s">
        <v>4</v>
      </c>
      <c r="I37" s="21">
        <f t="shared" si="1"/>
        <v>0</v>
      </c>
    </row>
    <row r="38" spans="1:9" x14ac:dyDescent="0.25">
      <c r="A38" s="310" t="s">
        <v>72</v>
      </c>
      <c r="B38" s="311"/>
      <c r="C38" s="311"/>
      <c r="D38" s="311"/>
      <c r="E38" s="312"/>
      <c r="F38" s="21">
        <f>SUM('Stavební rozpočet'!BP12:BP354)</f>
        <v>0</v>
      </c>
      <c r="G38" s="22" t="s">
        <v>4</v>
      </c>
      <c r="H38" s="22" t="s">
        <v>4</v>
      </c>
      <c r="I38" s="21">
        <f t="shared" si="1"/>
        <v>0</v>
      </c>
    </row>
    <row r="39" spans="1:9" x14ac:dyDescent="0.25">
      <c r="A39" s="310" t="s">
        <v>73</v>
      </c>
      <c r="B39" s="311"/>
      <c r="C39" s="311"/>
      <c r="D39" s="311"/>
      <c r="E39" s="312"/>
      <c r="F39" s="21">
        <f>SUM('Stavební rozpočet'!BQ12:BQ354)</f>
        <v>0</v>
      </c>
      <c r="G39" s="22" t="s">
        <v>4</v>
      </c>
      <c r="H39" s="22" t="s">
        <v>4</v>
      </c>
      <c r="I39" s="21">
        <f t="shared" si="1"/>
        <v>0</v>
      </c>
    </row>
    <row r="40" spans="1:9" x14ac:dyDescent="0.25">
      <c r="A40" s="310" t="s">
        <v>32</v>
      </c>
      <c r="B40" s="311"/>
      <c r="C40" s="311"/>
      <c r="D40" s="311"/>
      <c r="E40" s="312"/>
      <c r="F40" s="21">
        <f>SUM('Stavební rozpočet'!BR12:BR354)</f>
        <v>0</v>
      </c>
      <c r="G40" s="22" t="s">
        <v>4</v>
      </c>
      <c r="H40" s="22" t="s">
        <v>4</v>
      </c>
      <c r="I40" s="21">
        <f t="shared" si="1"/>
        <v>0</v>
      </c>
    </row>
    <row r="41" spans="1:9" x14ac:dyDescent="0.25">
      <c r="A41" s="310" t="s">
        <v>33</v>
      </c>
      <c r="B41" s="311"/>
      <c r="C41" s="311"/>
      <c r="D41" s="311"/>
      <c r="E41" s="312"/>
      <c r="F41" s="21">
        <f>SUM('Stavební rozpočet'!BS12:BS354)</f>
        <v>0</v>
      </c>
      <c r="G41" s="22" t="s">
        <v>4</v>
      </c>
      <c r="H41" s="22" t="s">
        <v>4</v>
      </c>
      <c r="I41" s="21">
        <f t="shared" si="1"/>
        <v>0</v>
      </c>
    </row>
    <row r="42" spans="1:9" x14ac:dyDescent="0.25">
      <c r="A42" s="310" t="s">
        <v>74</v>
      </c>
      <c r="B42" s="311"/>
      <c r="C42" s="311"/>
      <c r="D42" s="311"/>
      <c r="E42" s="312"/>
      <c r="F42" s="21">
        <f>SUM('Stavební rozpočet'!BT12:BT354)</f>
        <v>0</v>
      </c>
      <c r="G42" s="22" t="s">
        <v>4</v>
      </c>
      <c r="H42" s="22" t="s">
        <v>4</v>
      </c>
      <c r="I42" s="21">
        <f t="shared" si="1"/>
        <v>0</v>
      </c>
    </row>
    <row r="43" spans="1:9" x14ac:dyDescent="0.25">
      <c r="A43" s="310" t="s">
        <v>75</v>
      </c>
      <c r="B43" s="311"/>
      <c r="C43" s="311"/>
      <c r="D43" s="311"/>
      <c r="E43" s="312"/>
      <c r="F43" s="21">
        <f>SUM('Stavební rozpočet'!BU12:BU354)</f>
        <v>0</v>
      </c>
      <c r="G43" s="22" t="s">
        <v>4</v>
      </c>
      <c r="H43" s="22" t="s">
        <v>4</v>
      </c>
      <c r="I43" s="21">
        <f t="shared" si="1"/>
        <v>0</v>
      </c>
    </row>
    <row r="44" spans="1:9" x14ac:dyDescent="0.25">
      <c r="A44" s="313" t="s">
        <v>76</v>
      </c>
      <c r="B44" s="314"/>
      <c r="C44" s="314"/>
      <c r="D44" s="314"/>
      <c r="E44" s="315"/>
      <c r="F44" s="23">
        <f>SUM('Stavební rozpočet'!BV12:BV354)</f>
        <v>0</v>
      </c>
      <c r="G44" s="24" t="s">
        <v>4</v>
      </c>
      <c r="H44" s="24" t="s">
        <v>4</v>
      </c>
      <c r="I44" s="23">
        <f t="shared" si="1"/>
        <v>0</v>
      </c>
    </row>
    <row r="45" spans="1:9" x14ac:dyDescent="0.25">
      <c r="A45" s="316" t="s">
        <v>77</v>
      </c>
      <c r="B45" s="317"/>
      <c r="C45" s="317"/>
      <c r="D45" s="317"/>
      <c r="E45" s="318"/>
      <c r="F45" s="25" t="s">
        <v>4</v>
      </c>
      <c r="G45" s="26" t="s">
        <v>4</v>
      </c>
      <c r="H45" s="26" t="s">
        <v>4</v>
      </c>
      <c r="I45" s="27">
        <f>SUM(I35:I44)</f>
        <v>0</v>
      </c>
    </row>
  </sheetData>
  <sheetProtection password="CC89" sheet="1"/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2"/>
  <sheetViews>
    <sheetView workbookViewId="0">
      <pane ySplit="11" topLeftCell="A12" activePane="bottomLeft" state="frozen"/>
      <selection pane="bottomLeft" activeCell="A62" sqref="A62:L62"/>
    </sheetView>
  </sheetViews>
  <sheetFormatPr defaultColWidth="12.140625" defaultRowHeight="15" customHeight="1" x14ac:dyDescent="0.25"/>
  <cols>
    <col min="1" max="1" width="5.7109375" customWidth="1"/>
    <col min="2" max="9" width="15.7109375" customWidth="1"/>
    <col min="10" max="12" width="14.28515625" customWidth="1"/>
    <col min="13" max="16" width="12.140625" hidden="1"/>
  </cols>
  <sheetData>
    <row r="1" spans="1:16" ht="54.75" customHeight="1" x14ac:dyDescent="0.25">
      <c r="A1" s="300" t="s">
        <v>78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6" x14ac:dyDescent="0.25">
      <c r="A2" s="301" t="s">
        <v>1</v>
      </c>
      <c r="B2" s="302"/>
      <c r="C2" s="302"/>
      <c r="D2" s="307" t="str">
        <f>'Stavební rozpočet'!C2</f>
        <v>Stavební úpravy objektu čp. 80 se změnou užívání</v>
      </c>
      <c r="E2" s="308"/>
      <c r="F2" s="308"/>
      <c r="G2" s="298" t="s">
        <v>79</v>
      </c>
      <c r="H2" s="298" t="str">
        <f>'Stavební rozpočet'!G2</f>
        <v xml:space="preserve"> </v>
      </c>
      <c r="I2" s="298" t="s">
        <v>2</v>
      </c>
      <c r="J2" s="298" t="str">
        <f>'Stavební rozpočet'!I2</f>
        <v>Obec Cetoraz, Cetoraz 206, Cetoraz</v>
      </c>
      <c r="K2" s="302"/>
      <c r="L2" s="304"/>
    </row>
    <row r="3" spans="1:16" ht="15" customHeight="1" x14ac:dyDescent="0.25">
      <c r="A3" s="303"/>
      <c r="B3" s="259"/>
      <c r="C3" s="259"/>
      <c r="D3" s="309"/>
      <c r="E3" s="309"/>
      <c r="F3" s="309"/>
      <c r="G3" s="259"/>
      <c r="H3" s="259"/>
      <c r="I3" s="259"/>
      <c r="J3" s="259"/>
      <c r="K3" s="259"/>
      <c r="L3" s="305"/>
    </row>
    <row r="4" spans="1:16" x14ac:dyDescent="0.25">
      <c r="A4" s="296" t="s">
        <v>5</v>
      </c>
      <c r="B4" s="259"/>
      <c r="C4" s="259"/>
      <c r="D4" s="258" t="str">
        <f>'Stavební rozpočet'!C4</f>
        <v xml:space="preserve"> </v>
      </c>
      <c r="E4" s="259"/>
      <c r="F4" s="259"/>
      <c r="G4" s="258" t="s">
        <v>10</v>
      </c>
      <c r="H4" s="258" t="str">
        <f>'Stavební rozpočet'!G4</f>
        <v>02.12.2024</v>
      </c>
      <c r="I4" s="258" t="s">
        <v>6</v>
      </c>
      <c r="J4" s="258" t="str">
        <f>'Stavební rozpočet'!I4</f>
        <v>Ing. František Kovář, Dlouhá Lhota 6, Chýnov</v>
      </c>
      <c r="K4" s="259"/>
      <c r="L4" s="305"/>
    </row>
    <row r="5" spans="1:16" ht="15" customHeight="1" x14ac:dyDescent="0.25">
      <c r="A5" s="303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305"/>
    </row>
    <row r="6" spans="1:16" x14ac:dyDescent="0.25">
      <c r="A6" s="296" t="s">
        <v>8</v>
      </c>
      <c r="B6" s="259"/>
      <c r="C6" s="259"/>
      <c r="D6" s="258" t="str">
        <f>'Stavební rozpočet'!C6</f>
        <v>Cetoraz st.p.č. 89</v>
      </c>
      <c r="E6" s="259"/>
      <c r="F6" s="259"/>
      <c r="G6" s="258" t="s">
        <v>11</v>
      </c>
      <c r="H6" s="258" t="str">
        <f>'Stavební rozpočet'!G6</f>
        <v xml:space="preserve"> </v>
      </c>
      <c r="I6" s="258" t="s">
        <v>9</v>
      </c>
      <c r="J6" s="258" t="str">
        <f>'Stavební rozpočet'!I6</f>
        <v> </v>
      </c>
      <c r="K6" s="259"/>
      <c r="L6" s="305"/>
    </row>
    <row r="7" spans="1:16" ht="15" customHeight="1" x14ac:dyDescent="0.25">
      <c r="A7" s="303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305"/>
    </row>
    <row r="8" spans="1:16" x14ac:dyDescent="0.25">
      <c r="A8" s="296" t="s">
        <v>13</v>
      </c>
      <c r="B8" s="259"/>
      <c r="C8" s="259"/>
      <c r="D8" s="258" t="str">
        <f>'Stavební rozpočet'!C8</f>
        <v xml:space="preserve"> </v>
      </c>
      <c r="E8" s="259"/>
      <c r="F8" s="259"/>
      <c r="G8" s="258" t="s">
        <v>80</v>
      </c>
      <c r="H8" s="258" t="str">
        <f>'Stavební rozpočet'!G8</f>
        <v>02.12.2024</v>
      </c>
      <c r="I8" s="258" t="s">
        <v>14</v>
      </c>
      <c r="J8" s="258" t="str">
        <f>'Stavební rozpočet'!I8</f>
        <v>Alen Kadlecová</v>
      </c>
      <c r="K8" s="259"/>
      <c r="L8" s="305"/>
    </row>
    <row r="9" spans="1:16" x14ac:dyDescent="0.25">
      <c r="A9" s="342"/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8"/>
    </row>
    <row r="10" spans="1:16" x14ac:dyDescent="0.25">
      <c r="A10" s="28" t="s">
        <v>81</v>
      </c>
      <c r="B10" s="339" t="s">
        <v>81</v>
      </c>
      <c r="C10" s="340"/>
      <c r="D10" s="340"/>
      <c r="E10" s="340"/>
      <c r="F10" s="340"/>
      <c r="G10" s="340"/>
      <c r="H10" s="340"/>
      <c r="I10" s="341"/>
      <c r="J10" s="333" t="s">
        <v>82</v>
      </c>
      <c r="K10" s="334"/>
      <c r="L10" s="335"/>
    </row>
    <row r="11" spans="1:16" x14ac:dyDescent="0.25">
      <c r="A11" s="29" t="s">
        <v>83</v>
      </c>
      <c r="B11" s="330" t="s">
        <v>84</v>
      </c>
      <c r="C11" s="331"/>
      <c r="D11" s="331"/>
      <c r="E11" s="331"/>
      <c r="F11" s="331"/>
      <c r="G11" s="331"/>
      <c r="H11" s="331"/>
      <c r="I11" s="332"/>
      <c r="J11" s="30" t="s">
        <v>85</v>
      </c>
      <c r="K11" s="31" t="s">
        <v>27</v>
      </c>
      <c r="L11" s="32" t="s">
        <v>86</v>
      </c>
    </row>
    <row r="12" spans="1:16" x14ac:dyDescent="0.25">
      <c r="A12" s="33" t="s">
        <v>4</v>
      </c>
      <c r="B12" s="336" t="s">
        <v>87</v>
      </c>
      <c r="C12" s="336"/>
      <c r="D12" s="336"/>
      <c r="E12" s="336"/>
      <c r="F12" s="336"/>
      <c r="G12" s="336"/>
      <c r="H12" s="336"/>
      <c r="I12" s="336"/>
      <c r="J12" s="34">
        <f>'Stavební rozpočet'!H12</f>
        <v>0</v>
      </c>
      <c r="K12" s="34">
        <f>'Stavební rozpočet'!I12</f>
        <v>0</v>
      </c>
      <c r="L12" s="35">
        <f>'Stavební rozpočet'!J12</f>
        <v>0</v>
      </c>
      <c r="M12" s="36" t="s">
        <v>88</v>
      </c>
      <c r="N12" s="37">
        <f t="shared" ref="N12:N59" si="0">IF(M12="F",0,L12)</f>
        <v>0</v>
      </c>
      <c r="O12" s="2" t="s">
        <v>89</v>
      </c>
      <c r="P12" s="37">
        <f t="shared" ref="P12:P59" si="1">IF(M12="T",0,L12)</f>
        <v>0</v>
      </c>
    </row>
    <row r="13" spans="1:16" x14ac:dyDescent="0.25">
      <c r="A13" s="1" t="s">
        <v>90</v>
      </c>
      <c r="B13" s="259" t="s">
        <v>91</v>
      </c>
      <c r="C13" s="259"/>
      <c r="D13" s="259"/>
      <c r="E13" s="259"/>
      <c r="F13" s="259"/>
      <c r="G13" s="259"/>
      <c r="H13" s="259"/>
      <c r="I13" s="259"/>
      <c r="J13" s="37">
        <f>'Stavební rozpočet'!H13</f>
        <v>0</v>
      </c>
      <c r="K13" s="37">
        <f>'Stavební rozpočet'!I13</f>
        <v>0</v>
      </c>
      <c r="L13" s="38">
        <f>'Stavební rozpočet'!J13</f>
        <v>0</v>
      </c>
      <c r="M13" s="36" t="s">
        <v>92</v>
      </c>
      <c r="N13" s="37">
        <f t="shared" si="0"/>
        <v>0</v>
      </c>
      <c r="O13" s="2" t="s">
        <v>89</v>
      </c>
      <c r="P13" s="37">
        <f t="shared" si="1"/>
        <v>0</v>
      </c>
    </row>
    <row r="14" spans="1:16" x14ac:dyDescent="0.25">
      <c r="A14" s="1" t="s">
        <v>93</v>
      </c>
      <c r="B14" s="259" t="s">
        <v>94</v>
      </c>
      <c r="C14" s="259"/>
      <c r="D14" s="259"/>
      <c r="E14" s="259"/>
      <c r="F14" s="259"/>
      <c r="G14" s="259"/>
      <c r="H14" s="259"/>
      <c r="I14" s="259"/>
      <c r="J14" s="37">
        <f>'Stavební rozpočet'!H17</f>
        <v>0</v>
      </c>
      <c r="K14" s="37">
        <f>'Stavební rozpočet'!I17</f>
        <v>0</v>
      </c>
      <c r="L14" s="38">
        <f>'Stavební rozpočet'!J17</f>
        <v>0</v>
      </c>
      <c r="M14" s="36" t="s">
        <v>92</v>
      </c>
      <c r="N14" s="37">
        <f t="shared" si="0"/>
        <v>0</v>
      </c>
      <c r="O14" s="2" t="s">
        <v>89</v>
      </c>
      <c r="P14" s="37">
        <f t="shared" si="1"/>
        <v>0</v>
      </c>
    </row>
    <row r="15" spans="1:16" x14ac:dyDescent="0.25">
      <c r="A15" s="1" t="s">
        <v>95</v>
      </c>
      <c r="B15" s="259" t="s">
        <v>96</v>
      </c>
      <c r="C15" s="259"/>
      <c r="D15" s="259"/>
      <c r="E15" s="259"/>
      <c r="F15" s="259"/>
      <c r="G15" s="259"/>
      <c r="H15" s="259"/>
      <c r="I15" s="259"/>
      <c r="J15" s="37">
        <f>'Stavební rozpočet'!H21</f>
        <v>0</v>
      </c>
      <c r="K15" s="37">
        <f>'Stavební rozpočet'!I21</f>
        <v>0</v>
      </c>
      <c r="L15" s="38">
        <f>'Stavební rozpočet'!J21</f>
        <v>0</v>
      </c>
      <c r="M15" s="36" t="s">
        <v>92</v>
      </c>
      <c r="N15" s="37">
        <f t="shared" si="0"/>
        <v>0</v>
      </c>
      <c r="O15" s="2" t="s">
        <v>89</v>
      </c>
      <c r="P15" s="37">
        <f t="shared" si="1"/>
        <v>0</v>
      </c>
    </row>
    <row r="16" spans="1:16" x14ac:dyDescent="0.25">
      <c r="A16" s="1" t="s">
        <v>97</v>
      </c>
      <c r="B16" s="259" t="s">
        <v>98</v>
      </c>
      <c r="C16" s="259"/>
      <c r="D16" s="259"/>
      <c r="E16" s="259"/>
      <c r="F16" s="259"/>
      <c r="G16" s="259"/>
      <c r="H16" s="259"/>
      <c r="I16" s="259"/>
      <c r="J16" s="37">
        <f>'Stavební rozpočet'!H24</f>
        <v>0</v>
      </c>
      <c r="K16" s="37">
        <f>'Stavební rozpočet'!I24</f>
        <v>0</v>
      </c>
      <c r="L16" s="38">
        <f>'Stavební rozpočet'!J24</f>
        <v>0</v>
      </c>
      <c r="M16" s="36" t="s">
        <v>92</v>
      </c>
      <c r="N16" s="37">
        <f t="shared" si="0"/>
        <v>0</v>
      </c>
      <c r="O16" s="2" t="s">
        <v>89</v>
      </c>
      <c r="P16" s="37">
        <f t="shared" si="1"/>
        <v>0</v>
      </c>
    </row>
    <row r="17" spans="1:16" x14ac:dyDescent="0.25">
      <c r="A17" s="1" t="s">
        <v>99</v>
      </c>
      <c r="B17" s="259" t="s">
        <v>100</v>
      </c>
      <c r="C17" s="259"/>
      <c r="D17" s="259"/>
      <c r="E17" s="259"/>
      <c r="F17" s="259"/>
      <c r="G17" s="259"/>
      <c r="H17" s="259"/>
      <c r="I17" s="259"/>
      <c r="J17" s="37">
        <f>'Stavební rozpočet'!H26</f>
        <v>0</v>
      </c>
      <c r="K17" s="37">
        <f>'Stavební rozpočet'!I26</f>
        <v>0</v>
      </c>
      <c r="L17" s="38">
        <f>'Stavební rozpočet'!J26</f>
        <v>0</v>
      </c>
      <c r="M17" s="36" t="s">
        <v>92</v>
      </c>
      <c r="N17" s="37">
        <f t="shared" si="0"/>
        <v>0</v>
      </c>
      <c r="O17" s="2" t="s">
        <v>89</v>
      </c>
      <c r="P17" s="37">
        <f t="shared" si="1"/>
        <v>0</v>
      </c>
    </row>
    <row r="18" spans="1:16" x14ac:dyDescent="0.25">
      <c r="A18" s="1" t="s">
        <v>101</v>
      </c>
      <c r="B18" s="259" t="s">
        <v>102</v>
      </c>
      <c r="C18" s="259"/>
      <c r="D18" s="259"/>
      <c r="E18" s="259"/>
      <c r="F18" s="259"/>
      <c r="G18" s="259"/>
      <c r="H18" s="259"/>
      <c r="I18" s="259"/>
      <c r="J18" s="37">
        <f>'Stavební rozpočet'!H28</f>
        <v>0</v>
      </c>
      <c r="K18" s="37">
        <f>'Stavební rozpočet'!I28</f>
        <v>0</v>
      </c>
      <c r="L18" s="38">
        <f>'Stavební rozpočet'!J28</f>
        <v>0</v>
      </c>
      <c r="M18" s="36" t="s">
        <v>92</v>
      </c>
      <c r="N18" s="37">
        <f t="shared" si="0"/>
        <v>0</v>
      </c>
      <c r="O18" s="2" t="s">
        <v>89</v>
      </c>
      <c r="P18" s="37">
        <f t="shared" si="1"/>
        <v>0</v>
      </c>
    </row>
    <row r="19" spans="1:16" x14ac:dyDescent="0.25">
      <c r="A19" s="1" t="s">
        <v>103</v>
      </c>
      <c r="B19" s="259" t="s">
        <v>104</v>
      </c>
      <c r="C19" s="259"/>
      <c r="D19" s="259"/>
      <c r="E19" s="259"/>
      <c r="F19" s="259"/>
      <c r="G19" s="259"/>
      <c r="H19" s="259"/>
      <c r="I19" s="259"/>
      <c r="J19" s="37">
        <f>'Stavební rozpočet'!H42</f>
        <v>0</v>
      </c>
      <c r="K19" s="37">
        <f>'Stavební rozpočet'!I42</f>
        <v>0</v>
      </c>
      <c r="L19" s="38">
        <f>'Stavební rozpočet'!J42</f>
        <v>0</v>
      </c>
      <c r="M19" s="36" t="s">
        <v>92</v>
      </c>
      <c r="N19" s="37">
        <f t="shared" si="0"/>
        <v>0</v>
      </c>
      <c r="O19" s="2" t="s">
        <v>89</v>
      </c>
      <c r="P19" s="37">
        <f t="shared" si="1"/>
        <v>0</v>
      </c>
    </row>
    <row r="20" spans="1:16" x14ac:dyDescent="0.25">
      <c r="A20" s="1" t="s">
        <v>105</v>
      </c>
      <c r="B20" s="259" t="s">
        <v>106</v>
      </c>
      <c r="C20" s="259"/>
      <c r="D20" s="259"/>
      <c r="E20" s="259"/>
      <c r="F20" s="259"/>
      <c r="G20" s="259"/>
      <c r="H20" s="259"/>
      <c r="I20" s="259"/>
      <c r="J20" s="37">
        <f>'Stavební rozpočet'!H44</f>
        <v>0</v>
      </c>
      <c r="K20" s="37">
        <f>'Stavební rozpočet'!I44</f>
        <v>0</v>
      </c>
      <c r="L20" s="38">
        <f>'Stavební rozpočet'!J44</f>
        <v>0</v>
      </c>
      <c r="M20" s="36" t="s">
        <v>92</v>
      </c>
      <c r="N20" s="37">
        <f t="shared" si="0"/>
        <v>0</v>
      </c>
      <c r="O20" s="2" t="s">
        <v>89</v>
      </c>
      <c r="P20" s="37">
        <f t="shared" si="1"/>
        <v>0</v>
      </c>
    </row>
    <row r="21" spans="1:16" x14ac:dyDescent="0.25">
      <c r="A21" s="1" t="s">
        <v>107</v>
      </c>
      <c r="B21" s="259" t="s">
        <v>108</v>
      </c>
      <c r="C21" s="259"/>
      <c r="D21" s="259"/>
      <c r="E21" s="259"/>
      <c r="F21" s="259"/>
      <c r="G21" s="259"/>
      <c r="H21" s="259"/>
      <c r="I21" s="259"/>
      <c r="J21" s="37">
        <f>'Stavební rozpočet'!H56</f>
        <v>0</v>
      </c>
      <c r="K21" s="37">
        <f>'Stavební rozpočet'!I56</f>
        <v>0</v>
      </c>
      <c r="L21" s="38">
        <f>'Stavební rozpočet'!J56</f>
        <v>0</v>
      </c>
      <c r="M21" s="36" t="s">
        <v>92</v>
      </c>
      <c r="N21" s="37">
        <f t="shared" si="0"/>
        <v>0</v>
      </c>
      <c r="O21" s="2" t="s">
        <v>89</v>
      </c>
      <c r="P21" s="37">
        <f t="shared" si="1"/>
        <v>0</v>
      </c>
    </row>
    <row r="22" spans="1:16" x14ac:dyDescent="0.25">
      <c r="A22" s="1" t="s">
        <v>109</v>
      </c>
      <c r="B22" s="259" t="s">
        <v>110</v>
      </c>
      <c r="C22" s="259"/>
      <c r="D22" s="259"/>
      <c r="E22" s="259"/>
      <c r="F22" s="259"/>
      <c r="G22" s="259"/>
      <c r="H22" s="259"/>
      <c r="I22" s="259"/>
      <c r="J22" s="37">
        <f>'Stavební rozpočet'!H61</f>
        <v>0</v>
      </c>
      <c r="K22" s="37">
        <f>'Stavební rozpočet'!I61</f>
        <v>0</v>
      </c>
      <c r="L22" s="38">
        <f>'Stavební rozpočet'!J61</f>
        <v>0</v>
      </c>
      <c r="M22" s="36" t="s">
        <v>92</v>
      </c>
      <c r="N22" s="37">
        <f t="shared" si="0"/>
        <v>0</v>
      </c>
      <c r="O22" s="2" t="s">
        <v>89</v>
      </c>
      <c r="P22" s="37">
        <f t="shared" si="1"/>
        <v>0</v>
      </c>
    </row>
    <row r="23" spans="1:16" x14ac:dyDescent="0.25">
      <c r="A23" s="1" t="s">
        <v>111</v>
      </c>
      <c r="B23" s="259" t="s">
        <v>112</v>
      </c>
      <c r="C23" s="259"/>
      <c r="D23" s="259"/>
      <c r="E23" s="259"/>
      <c r="F23" s="259"/>
      <c r="G23" s="259"/>
      <c r="H23" s="259"/>
      <c r="I23" s="259"/>
      <c r="J23" s="37">
        <f>'Stavební rozpočet'!H63</f>
        <v>0</v>
      </c>
      <c r="K23" s="37">
        <f>'Stavební rozpočet'!I63</f>
        <v>0</v>
      </c>
      <c r="L23" s="38">
        <f>'Stavební rozpočet'!J63</f>
        <v>0</v>
      </c>
      <c r="M23" s="36" t="s">
        <v>92</v>
      </c>
      <c r="N23" s="37">
        <f t="shared" si="0"/>
        <v>0</v>
      </c>
      <c r="O23" s="2" t="s">
        <v>89</v>
      </c>
      <c r="P23" s="37">
        <f t="shared" si="1"/>
        <v>0</v>
      </c>
    </row>
    <row r="24" spans="1:16" x14ac:dyDescent="0.25">
      <c r="A24" s="1" t="s">
        <v>113</v>
      </c>
      <c r="B24" s="259" t="s">
        <v>114</v>
      </c>
      <c r="C24" s="259"/>
      <c r="D24" s="259"/>
      <c r="E24" s="259"/>
      <c r="F24" s="259"/>
      <c r="G24" s="259"/>
      <c r="H24" s="259"/>
      <c r="I24" s="259"/>
      <c r="J24" s="37">
        <f>'Stavební rozpočet'!H68</f>
        <v>0</v>
      </c>
      <c r="K24" s="37">
        <f>'Stavební rozpočet'!I68</f>
        <v>0</v>
      </c>
      <c r="L24" s="38">
        <f>'Stavební rozpočet'!J68</f>
        <v>0</v>
      </c>
      <c r="M24" s="36" t="s">
        <v>92</v>
      </c>
      <c r="N24" s="37">
        <f t="shared" si="0"/>
        <v>0</v>
      </c>
      <c r="O24" s="2" t="s">
        <v>89</v>
      </c>
      <c r="P24" s="37">
        <f t="shared" si="1"/>
        <v>0</v>
      </c>
    </row>
    <row r="25" spans="1:16" x14ac:dyDescent="0.25">
      <c r="A25" s="1" t="s">
        <v>115</v>
      </c>
      <c r="B25" s="259" t="s">
        <v>116</v>
      </c>
      <c r="C25" s="259"/>
      <c r="D25" s="259"/>
      <c r="E25" s="259"/>
      <c r="F25" s="259"/>
      <c r="G25" s="259"/>
      <c r="H25" s="259"/>
      <c r="I25" s="259"/>
      <c r="J25" s="37">
        <f>'Stavební rozpočet'!H74</f>
        <v>0</v>
      </c>
      <c r="K25" s="37">
        <f>'Stavební rozpočet'!I74</f>
        <v>0</v>
      </c>
      <c r="L25" s="38">
        <f>'Stavební rozpočet'!J74</f>
        <v>0</v>
      </c>
      <c r="M25" s="36" t="s">
        <v>92</v>
      </c>
      <c r="N25" s="37">
        <f t="shared" si="0"/>
        <v>0</v>
      </c>
      <c r="O25" s="2" t="s">
        <v>89</v>
      </c>
      <c r="P25" s="37">
        <f t="shared" si="1"/>
        <v>0</v>
      </c>
    </row>
    <row r="26" spans="1:16" x14ac:dyDescent="0.25">
      <c r="A26" s="1" t="s">
        <v>117</v>
      </c>
      <c r="B26" s="259" t="s">
        <v>118</v>
      </c>
      <c r="C26" s="259"/>
      <c r="D26" s="259"/>
      <c r="E26" s="259"/>
      <c r="F26" s="259"/>
      <c r="G26" s="259"/>
      <c r="H26" s="259"/>
      <c r="I26" s="259"/>
      <c r="J26" s="37">
        <f>'Stavební rozpočet'!H83</f>
        <v>0</v>
      </c>
      <c r="K26" s="37">
        <f>'Stavební rozpočet'!I83</f>
        <v>0</v>
      </c>
      <c r="L26" s="38">
        <f>'Stavební rozpočet'!J83</f>
        <v>0</v>
      </c>
      <c r="M26" s="36" t="s">
        <v>92</v>
      </c>
      <c r="N26" s="37">
        <f t="shared" si="0"/>
        <v>0</v>
      </c>
      <c r="O26" s="2" t="s">
        <v>89</v>
      </c>
      <c r="P26" s="37">
        <f t="shared" si="1"/>
        <v>0</v>
      </c>
    </row>
    <row r="27" spans="1:16" x14ac:dyDescent="0.25">
      <c r="A27" s="1" t="s">
        <v>119</v>
      </c>
      <c r="B27" s="259" t="s">
        <v>120</v>
      </c>
      <c r="C27" s="259"/>
      <c r="D27" s="259"/>
      <c r="E27" s="259"/>
      <c r="F27" s="259"/>
      <c r="G27" s="259"/>
      <c r="H27" s="259"/>
      <c r="I27" s="259"/>
      <c r="J27" s="37">
        <f>'Stavební rozpočet'!H88</f>
        <v>0</v>
      </c>
      <c r="K27" s="37">
        <f>'Stavební rozpočet'!I88</f>
        <v>0</v>
      </c>
      <c r="L27" s="38">
        <f>'Stavební rozpočet'!J88</f>
        <v>0</v>
      </c>
      <c r="M27" s="36" t="s">
        <v>92</v>
      </c>
      <c r="N27" s="37">
        <f t="shared" si="0"/>
        <v>0</v>
      </c>
      <c r="O27" s="2" t="s">
        <v>89</v>
      </c>
      <c r="P27" s="37">
        <f t="shared" si="1"/>
        <v>0</v>
      </c>
    </row>
    <row r="28" spans="1:16" x14ac:dyDescent="0.25">
      <c r="A28" s="1" t="s">
        <v>121</v>
      </c>
      <c r="B28" s="259" t="s">
        <v>122</v>
      </c>
      <c r="C28" s="259"/>
      <c r="D28" s="259"/>
      <c r="E28" s="259"/>
      <c r="F28" s="259"/>
      <c r="G28" s="259"/>
      <c r="H28" s="259"/>
      <c r="I28" s="259"/>
      <c r="J28" s="37">
        <f>'Stavební rozpočet'!H97</f>
        <v>0</v>
      </c>
      <c r="K28" s="37">
        <f>'Stavební rozpočet'!I97</f>
        <v>0</v>
      </c>
      <c r="L28" s="38">
        <f>'Stavební rozpočet'!J97</f>
        <v>0</v>
      </c>
      <c r="M28" s="36" t="s">
        <v>92</v>
      </c>
      <c r="N28" s="37">
        <f t="shared" si="0"/>
        <v>0</v>
      </c>
      <c r="O28" s="2" t="s">
        <v>89</v>
      </c>
      <c r="P28" s="37">
        <f t="shared" si="1"/>
        <v>0</v>
      </c>
    </row>
    <row r="29" spans="1:16" x14ac:dyDescent="0.25">
      <c r="A29" s="1" t="s">
        <v>123</v>
      </c>
      <c r="B29" s="259" t="s">
        <v>124</v>
      </c>
      <c r="C29" s="259"/>
      <c r="D29" s="259"/>
      <c r="E29" s="259"/>
      <c r="F29" s="259"/>
      <c r="G29" s="259"/>
      <c r="H29" s="259"/>
      <c r="I29" s="259"/>
      <c r="J29" s="37">
        <f>'Stavební rozpočet'!H100</f>
        <v>0</v>
      </c>
      <c r="K29" s="37">
        <f>'Stavební rozpočet'!I100</f>
        <v>0</v>
      </c>
      <c r="L29" s="38">
        <f>'Stavební rozpočet'!J100</f>
        <v>0</v>
      </c>
      <c r="M29" s="36" t="s">
        <v>92</v>
      </c>
      <c r="N29" s="37">
        <f t="shared" si="0"/>
        <v>0</v>
      </c>
      <c r="O29" s="2" t="s">
        <v>89</v>
      </c>
      <c r="P29" s="37">
        <f t="shared" si="1"/>
        <v>0</v>
      </c>
    </row>
    <row r="30" spans="1:16" x14ac:dyDescent="0.25">
      <c r="A30" s="1" t="s">
        <v>125</v>
      </c>
      <c r="B30" s="259" t="s">
        <v>126</v>
      </c>
      <c r="C30" s="259"/>
      <c r="D30" s="259"/>
      <c r="E30" s="259"/>
      <c r="F30" s="259"/>
      <c r="G30" s="259"/>
      <c r="H30" s="259"/>
      <c r="I30" s="259"/>
      <c r="J30" s="37">
        <f>'Stavební rozpočet'!H103</f>
        <v>0</v>
      </c>
      <c r="K30" s="37">
        <f>'Stavební rozpočet'!I103</f>
        <v>0</v>
      </c>
      <c r="L30" s="38">
        <f>'Stavební rozpočet'!J103</f>
        <v>0</v>
      </c>
      <c r="M30" s="36" t="s">
        <v>92</v>
      </c>
      <c r="N30" s="37">
        <f t="shared" si="0"/>
        <v>0</v>
      </c>
      <c r="O30" s="2" t="s">
        <v>89</v>
      </c>
      <c r="P30" s="37">
        <f t="shared" si="1"/>
        <v>0</v>
      </c>
    </row>
    <row r="31" spans="1:16" x14ac:dyDescent="0.25">
      <c r="A31" s="1" t="s">
        <v>127</v>
      </c>
      <c r="B31" s="259" t="s">
        <v>128</v>
      </c>
      <c r="C31" s="259"/>
      <c r="D31" s="259"/>
      <c r="E31" s="259"/>
      <c r="F31" s="259"/>
      <c r="G31" s="259"/>
      <c r="H31" s="259"/>
      <c r="I31" s="259"/>
      <c r="J31" s="37">
        <f>'Stavební rozpočet'!H108</f>
        <v>0</v>
      </c>
      <c r="K31" s="37">
        <f>'Stavební rozpočet'!I108</f>
        <v>0</v>
      </c>
      <c r="L31" s="38">
        <f>'Stavební rozpočet'!J108</f>
        <v>0</v>
      </c>
      <c r="M31" s="36" t="s">
        <v>92</v>
      </c>
      <c r="N31" s="37">
        <f t="shared" si="0"/>
        <v>0</v>
      </c>
      <c r="O31" s="2" t="s">
        <v>89</v>
      </c>
      <c r="P31" s="37">
        <f t="shared" si="1"/>
        <v>0</v>
      </c>
    </row>
    <row r="32" spans="1:16" x14ac:dyDescent="0.25">
      <c r="A32" s="1" t="s">
        <v>129</v>
      </c>
      <c r="B32" s="259" t="s">
        <v>130</v>
      </c>
      <c r="C32" s="259"/>
      <c r="D32" s="259"/>
      <c r="E32" s="259"/>
      <c r="F32" s="259"/>
      <c r="G32" s="259"/>
      <c r="H32" s="259"/>
      <c r="I32" s="259"/>
      <c r="J32" s="37">
        <f>'Stavební rozpočet'!H114</f>
        <v>0</v>
      </c>
      <c r="K32" s="37">
        <f>'Stavební rozpočet'!I114</f>
        <v>0</v>
      </c>
      <c r="L32" s="38">
        <f>'Stavební rozpočet'!J114</f>
        <v>0</v>
      </c>
      <c r="M32" s="36" t="s">
        <v>92</v>
      </c>
      <c r="N32" s="37">
        <f t="shared" si="0"/>
        <v>0</v>
      </c>
      <c r="O32" s="2" t="s">
        <v>89</v>
      </c>
      <c r="P32" s="37">
        <f t="shared" si="1"/>
        <v>0</v>
      </c>
    </row>
    <row r="33" spans="1:16" x14ac:dyDescent="0.25">
      <c r="A33" s="1" t="s">
        <v>131</v>
      </c>
      <c r="B33" s="259" t="s">
        <v>132</v>
      </c>
      <c r="C33" s="259"/>
      <c r="D33" s="259"/>
      <c r="E33" s="259"/>
      <c r="F33" s="259"/>
      <c r="G33" s="259"/>
      <c r="H33" s="259"/>
      <c r="I33" s="259"/>
      <c r="J33" s="37">
        <f>'Stavební rozpočet'!H120</f>
        <v>0</v>
      </c>
      <c r="K33" s="37">
        <f>'Stavební rozpočet'!I120</f>
        <v>0</v>
      </c>
      <c r="L33" s="38">
        <f>'Stavební rozpočet'!J120</f>
        <v>0</v>
      </c>
      <c r="M33" s="36" t="s">
        <v>92</v>
      </c>
      <c r="N33" s="37">
        <f t="shared" si="0"/>
        <v>0</v>
      </c>
      <c r="O33" s="2" t="s">
        <v>89</v>
      </c>
      <c r="P33" s="37">
        <f t="shared" si="1"/>
        <v>0</v>
      </c>
    </row>
    <row r="34" spans="1:16" x14ac:dyDescent="0.25">
      <c r="A34" s="1" t="s">
        <v>133</v>
      </c>
      <c r="B34" s="259" t="s">
        <v>134</v>
      </c>
      <c r="C34" s="259"/>
      <c r="D34" s="259"/>
      <c r="E34" s="259"/>
      <c r="F34" s="259"/>
      <c r="G34" s="259"/>
      <c r="H34" s="259"/>
      <c r="I34" s="259"/>
      <c r="J34" s="37">
        <f>'Stavební rozpočet'!H132</f>
        <v>0</v>
      </c>
      <c r="K34" s="37">
        <f>'Stavební rozpočet'!I132</f>
        <v>0</v>
      </c>
      <c r="L34" s="38">
        <f>'Stavební rozpočet'!J132</f>
        <v>0</v>
      </c>
      <c r="M34" s="36" t="s">
        <v>92</v>
      </c>
      <c r="N34" s="37">
        <f t="shared" si="0"/>
        <v>0</v>
      </c>
      <c r="O34" s="2" t="s">
        <v>89</v>
      </c>
      <c r="P34" s="37">
        <f t="shared" si="1"/>
        <v>0</v>
      </c>
    </row>
    <row r="35" spans="1:16" x14ac:dyDescent="0.25">
      <c r="A35" s="1" t="s">
        <v>135</v>
      </c>
      <c r="B35" s="259" t="s">
        <v>136</v>
      </c>
      <c r="C35" s="259"/>
      <c r="D35" s="259"/>
      <c r="E35" s="259"/>
      <c r="F35" s="259"/>
      <c r="G35" s="259"/>
      <c r="H35" s="259"/>
      <c r="I35" s="259"/>
      <c r="J35" s="37">
        <f>'Stavební rozpočet'!H149</f>
        <v>0</v>
      </c>
      <c r="K35" s="37">
        <f>'Stavební rozpočet'!I149</f>
        <v>0</v>
      </c>
      <c r="L35" s="38">
        <f>'Stavební rozpočet'!J149</f>
        <v>0</v>
      </c>
      <c r="M35" s="36" t="s">
        <v>92</v>
      </c>
      <c r="N35" s="37">
        <f t="shared" si="0"/>
        <v>0</v>
      </c>
      <c r="O35" s="2" t="s">
        <v>89</v>
      </c>
      <c r="P35" s="37">
        <f t="shared" si="1"/>
        <v>0</v>
      </c>
    </row>
    <row r="36" spans="1:16" x14ac:dyDescent="0.25">
      <c r="A36" s="1" t="s">
        <v>137</v>
      </c>
      <c r="B36" s="259" t="s">
        <v>138</v>
      </c>
      <c r="C36" s="259"/>
      <c r="D36" s="259"/>
      <c r="E36" s="259"/>
      <c r="F36" s="259"/>
      <c r="G36" s="259"/>
      <c r="H36" s="259"/>
      <c r="I36" s="259"/>
      <c r="J36" s="37">
        <f>'Stavební rozpočet'!H152</f>
        <v>0</v>
      </c>
      <c r="K36" s="37">
        <f>'Stavební rozpočet'!I152</f>
        <v>0</v>
      </c>
      <c r="L36" s="38">
        <f>'Stavební rozpočet'!J152</f>
        <v>0</v>
      </c>
      <c r="M36" s="36" t="s">
        <v>92</v>
      </c>
      <c r="N36" s="37">
        <f t="shared" si="0"/>
        <v>0</v>
      </c>
      <c r="O36" s="2" t="s">
        <v>89</v>
      </c>
      <c r="P36" s="37">
        <f t="shared" si="1"/>
        <v>0</v>
      </c>
    </row>
    <row r="37" spans="1:16" x14ac:dyDescent="0.25">
      <c r="A37" s="1" t="s">
        <v>139</v>
      </c>
      <c r="B37" s="259" t="s">
        <v>140</v>
      </c>
      <c r="C37" s="259"/>
      <c r="D37" s="259"/>
      <c r="E37" s="259"/>
      <c r="F37" s="259"/>
      <c r="G37" s="259"/>
      <c r="H37" s="259"/>
      <c r="I37" s="259"/>
      <c r="J37" s="37">
        <f>'Stavební rozpočet'!H173</f>
        <v>0</v>
      </c>
      <c r="K37" s="37">
        <f>'Stavební rozpočet'!I173</f>
        <v>0</v>
      </c>
      <c r="L37" s="38">
        <f>'Stavební rozpočet'!J173</f>
        <v>0</v>
      </c>
      <c r="M37" s="36" t="s">
        <v>92</v>
      </c>
      <c r="N37" s="37">
        <f t="shared" si="0"/>
        <v>0</v>
      </c>
      <c r="O37" s="2" t="s">
        <v>89</v>
      </c>
      <c r="P37" s="37">
        <f t="shared" si="1"/>
        <v>0</v>
      </c>
    </row>
    <row r="38" spans="1:16" x14ac:dyDescent="0.25">
      <c r="A38" s="1" t="s">
        <v>141</v>
      </c>
      <c r="B38" s="259" t="s">
        <v>142</v>
      </c>
      <c r="C38" s="259"/>
      <c r="D38" s="259"/>
      <c r="E38" s="259"/>
      <c r="F38" s="259"/>
      <c r="G38" s="259"/>
      <c r="H38" s="259"/>
      <c r="I38" s="259"/>
      <c r="J38" s="37">
        <f>'Stavební rozpočet'!H178</f>
        <v>0</v>
      </c>
      <c r="K38" s="37">
        <f>'Stavební rozpočet'!I178</f>
        <v>0</v>
      </c>
      <c r="L38" s="38">
        <f>'Stavební rozpočet'!J178</f>
        <v>0</v>
      </c>
      <c r="M38" s="36" t="s">
        <v>92</v>
      </c>
      <c r="N38" s="37">
        <f t="shared" si="0"/>
        <v>0</v>
      </c>
      <c r="O38" s="2" t="s">
        <v>89</v>
      </c>
      <c r="P38" s="37">
        <f t="shared" si="1"/>
        <v>0</v>
      </c>
    </row>
    <row r="39" spans="1:16" x14ac:dyDescent="0.25">
      <c r="A39" s="1" t="s">
        <v>143</v>
      </c>
      <c r="B39" s="259" t="s">
        <v>144</v>
      </c>
      <c r="C39" s="259"/>
      <c r="D39" s="259"/>
      <c r="E39" s="259"/>
      <c r="F39" s="259"/>
      <c r="G39" s="259"/>
      <c r="H39" s="259"/>
      <c r="I39" s="259"/>
      <c r="J39" s="37">
        <f>'Stavební rozpočet'!H186</f>
        <v>0</v>
      </c>
      <c r="K39" s="37">
        <f>'Stavební rozpočet'!I186</f>
        <v>0</v>
      </c>
      <c r="L39" s="38">
        <f>'Stavební rozpočet'!J186</f>
        <v>0</v>
      </c>
      <c r="M39" s="36" t="s">
        <v>92</v>
      </c>
      <c r="N39" s="37">
        <f t="shared" si="0"/>
        <v>0</v>
      </c>
      <c r="O39" s="2" t="s">
        <v>89</v>
      </c>
      <c r="P39" s="37">
        <f t="shared" si="1"/>
        <v>0</v>
      </c>
    </row>
    <row r="40" spans="1:16" x14ac:dyDescent="0.25">
      <c r="A40" s="1" t="s">
        <v>145</v>
      </c>
      <c r="B40" s="259" t="s">
        <v>146</v>
      </c>
      <c r="C40" s="259"/>
      <c r="D40" s="259"/>
      <c r="E40" s="259"/>
      <c r="F40" s="259"/>
      <c r="G40" s="259"/>
      <c r="H40" s="259"/>
      <c r="I40" s="259"/>
      <c r="J40" s="37">
        <f>'Stavební rozpočet'!H202</f>
        <v>0</v>
      </c>
      <c r="K40" s="37">
        <f>'Stavební rozpočet'!I202</f>
        <v>0</v>
      </c>
      <c r="L40" s="38">
        <f>'Stavební rozpočet'!J202</f>
        <v>0</v>
      </c>
      <c r="M40" s="36" t="s">
        <v>92</v>
      </c>
      <c r="N40" s="37">
        <f t="shared" si="0"/>
        <v>0</v>
      </c>
      <c r="O40" s="2" t="s">
        <v>89</v>
      </c>
      <c r="P40" s="37">
        <f t="shared" si="1"/>
        <v>0</v>
      </c>
    </row>
    <row r="41" spans="1:16" x14ac:dyDescent="0.25">
      <c r="A41" s="1" t="s">
        <v>147</v>
      </c>
      <c r="B41" s="259" t="s">
        <v>148</v>
      </c>
      <c r="C41" s="259"/>
      <c r="D41" s="259"/>
      <c r="E41" s="259"/>
      <c r="F41" s="259"/>
      <c r="G41" s="259"/>
      <c r="H41" s="259"/>
      <c r="I41" s="259"/>
      <c r="J41" s="37">
        <f>'Stavební rozpočet'!H234</f>
        <v>0</v>
      </c>
      <c r="K41" s="37">
        <f>'Stavební rozpočet'!I234</f>
        <v>0</v>
      </c>
      <c r="L41" s="38">
        <f>'Stavební rozpočet'!J234</f>
        <v>0</v>
      </c>
      <c r="M41" s="36" t="s">
        <v>92</v>
      </c>
      <c r="N41" s="37">
        <f t="shared" si="0"/>
        <v>0</v>
      </c>
      <c r="O41" s="2" t="s">
        <v>89</v>
      </c>
      <c r="P41" s="37">
        <f t="shared" si="1"/>
        <v>0</v>
      </c>
    </row>
    <row r="42" spans="1:16" x14ac:dyDescent="0.25">
      <c r="A42" s="1" t="s">
        <v>149</v>
      </c>
      <c r="B42" s="259" t="s">
        <v>150</v>
      </c>
      <c r="C42" s="259"/>
      <c r="D42" s="259"/>
      <c r="E42" s="259"/>
      <c r="F42" s="259"/>
      <c r="G42" s="259"/>
      <c r="H42" s="259"/>
      <c r="I42" s="259"/>
      <c r="J42" s="37">
        <f>'Stavební rozpočet'!H239</f>
        <v>0</v>
      </c>
      <c r="K42" s="37">
        <f>'Stavební rozpočet'!I239</f>
        <v>0</v>
      </c>
      <c r="L42" s="38">
        <f>'Stavební rozpočet'!J239</f>
        <v>0</v>
      </c>
      <c r="M42" s="36" t="s">
        <v>92</v>
      </c>
      <c r="N42" s="37">
        <f t="shared" si="0"/>
        <v>0</v>
      </c>
      <c r="O42" s="2" t="s">
        <v>89</v>
      </c>
      <c r="P42" s="37">
        <f t="shared" si="1"/>
        <v>0</v>
      </c>
    </row>
    <row r="43" spans="1:16" x14ac:dyDescent="0.25">
      <c r="A43" s="1" t="s">
        <v>151</v>
      </c>
      <c r="B43" s="259" t="s">
        <v>152</v>
      </c>
      <c r="C43" s="259"/>
      <c r="D43" s="259"/>
      <c r="E43" s="259"/>
      <c r="F43" s="259"/>
      <c r="G43" s="259"/>
      <c r="H43" s="259"/>
      <c r="I43" s="259"/>
      <c r="J43" s="37">
        <f>'Stavební rozpočet'!H244</f>
        <v>0</v>
      </c>
      <c r="K43" s="37">
        <f>'Stavební rozpočet'!I244</f>
        <v>0</v>
      </c>
      <c r="L43" s="38">
        <f>'Stavební rozpočet'!J244</f>
        <v>0</v>
      </c>
      <c r="M43" s="36" t="s">
        <v>92</v>
      </c>
      <c r="N43" s="37">
        <f t="shared" si="0"/>
        <v>0</v>
      </c>
      <c r="O43" s="2" t="s">
        <v>89</v>
      </c>
      <c r="P43" s="37">
        <f t="shared" si="1"/>
        <v>0</v>
      </c>
    </row>
    <row r="44" spans="1:16" x14ac:dyDescent="0.25">
      <c r="A44" s="1" t="s">
        <v>153</v>
      </c>
      <c r="B44" s="259" t="s">
        <v>154</v>
      </c>
      <c r="C44" s="259"/>
      <c r="D44" s="259"/>
      <c r="E44" s="259"/>
      <c r="F44" s="259"/>
      <c r="G44" s="259"/>
      <c r="H44" s="259"/>
      <c r="I44" s="259"/>
      <c r="J44" s="37">
        <f>'Stavební rozpočet'!H250</f>
        <v>0</v>
      </c>
      <c r="K44" s="37">
        <f>'Stavební rozpočet'!I250</f>
        <v>0</v>
      </c>
      <c r="L44" s="38">
        <f>'Stavební rozpočet'!J250</f>
        <v>0</v>
      </c>
      <c r="M44" s="36" t="s">
        <v>92</v>
      </c>
      <c r="N44" s="37">
        <f t="shared" si="0"/>
        <v>0</v>
      </c>
      <c r="O44" s="2" t="s">
        <v>89</v>
      </c>
      <c r="P44" s="37">
        <f t="shared" si="1"/>
        <v>0</v>
      </c>
    </row>
    <row r="45" spans="1:16" x14ac:dyDescent="0.25">
      <c r="A45" s="1" t="s">
        <v>155</v>
      </c>
      <c r="B45" s="259" t="s">
        <v>156</v>
      </c>
      <c r="C45" s="259"/>
      <c r="D45" s="259"/>
      <c r="E45" s="259"/>
      <c r="F45" s="259"/>
      <c r="G45" s="259"/>
      <c r="H45" s="259"/>
      <c r="I45" s="259"/>
      <c r="J45" s="37">
        <f>'Stavební rozpočet'!H257</f>
        <v>0</v>
      </c>
      <c r="K45" s="37">
        <f>'Stavební rozpočet'!I257</f>
        <v>0</v>
      </c>
      <c r="L45" s="38">
        <f>'Stavební rozpočet'!J257</f>
        <v>0</v>
      </c>
      <c r="M45" s="36" t="s">
        <v>92</v>
      </c>
      <c r="N45" s="37">
        <f t="shared" si="0"/>
        <v>0</v>
      </c>
      <c r="O45" s="2" t="s">
        <v>89</v>
      </c>
      <c r="P45" s="37">
        <f t="shared" si="1"/>
        <v>0</v>
      </c>
    </row>
    <row r="46" spans="1:16" x14ac:dyDescent="0.25">
      <c r="A46" s="1" t="s">
        <v>157</v>
      </c>
      <c r="B46" s="259" t="s">
        <v>158</v>
      </c>
      <c r="C46" s="259"/>
      <c r="D46" s="259"/>
      <c r="E46" s="259"/>
      <c r="F46" s="259"/>
      <c r="G46" s="259"/>
      <c r="H46" s="259"/>
      <c r="I46" s="259"/>
      <c r="J46" s="37">
        <f>'Stavební rozpočet'!H260</f>
        <v>0</v>
      </c>
      <c r="K46" s="37">
        <f>'Stavební rozpočet'!I260</f>
        <v>0</v>
      </c>
      <c r="L46" s="38">
        <f>'Stavební rozpočet'!J260</f>
        <v>0</v>
      </c>
      <c r="M46" s="36" t="s">
        <v>92</v>
      </c>
      <c r="N46" s="37">
        <f t="shared" si="0"/>
        <v>0</v>
      </c>
      <c r="O46" s="2" t="s">
        <v>89</v>
      </c>
      <c r="P46" s="37">
        <f t="shared" si="1"/>
        <v>0</v>
      </c>
    </row>
    <row r="47" spans="1:16" x14ac:dyDescent="0.25">
      <c r="A47" s="1" t="s">
        <v>159</v>
      </c>
      <c r="B47" s="259" t="s">
        <v>160</v>
      </c>
      <c r="C47" s="259"/>
      <c r="D47" s="259"/>
      <c r="E47" s="259"/>
      <c r="F47" s="259"/>
      <c r="G47" s="259"/>
      <c r="H47" s="259"/>
      <c r="I47" s="259"/>
      <c r="J47" s="37">
        <f>'Stavební rozpočet'!H266</f>
        <v>0</v>
      </c>
      <c r="K47" s="37">
        <f>'Stavební rozpočet'!I266</f>
        <v>0</v>
      </c>
      <c r="L47" s="38">
        <f>'Stavební rozpočet'!J266</f>
        <v>0</v>
      </c>
      <c r="M47" s="36" t="s">
        <v>92</v>
      </c>
      <c r="N47" s="37">
        <f t="shared" si="0"/>
        <v>0</v>
      </c>
      <c r="O47" s="2" t="s">
        <v>89</v>
      </c>
      <c r="P47" s="37">
        <f t="shared" si="1"/>
        <v>0</v>
      </c>
    </row>
    <row r="48" spans="1:16" x14ac:dyDescent="0.25">
      <c r="A48" s="1" t="s">
        <v>161</v>
      </c>
      <c r="B48" s="259" t="s">
        <v>162</v>
      </c>
      <c r="C48" s="259"/>
      <c r="D48" s="259"/>
      <c r="E48" s="259"/>
      <c r="F48" s="259"/>
      <c r="G48" s="259"/>
      <c r="H48" s="259"/>
      <c r="I48" s="259"/>
      <c r="J48" s="37">
        <f>'Stavební rozpočet'!H269</f>
        <v>0</v>
      </c>
      <c r="K48" s="37">
        <f>'Stavební rozpočet'!I269</f>
        <v>0</v>
      </c>
      <c r="L48" s="38">
        <f>'Stavební rozpočet'!J269</f>
        <v>0</v>
      </c>
      <c r="M48" s="36" t="s">
        <v>92</v>
      </c>
      <c r="N48" s="37">
        <f t="shared" si="0"/>
        <v>0</v>
      </c>
      <c r="O48" s="2" t="s">
        <v>89</v>
      </c>
      <c r="P48" s="37">
        <f t="shared" si="1"/>
        <v>0</v>
      </c>
    </row>
    <row r="49" spans="1:16" x14ac:dyDescent="0.25">
      <c r="A49" s="1" t="s">
        <v>163</v>
      </c>
      <c r="B49" s="259" t="s">
        <v>164</v>
      </c>
      <c r="C49" s="259"/>
      <c r="D49" s="259"/>
      <c r="E49" s="259"/>
      <c r="F49" s="259"/>
      <c r="G49" s="259"/>
      <c r="H49" s="259"/>
      <c r="I49" s="259"/>
      <c r="J49" s="37">
        <f>'Stavební rozpočet'!H273</f>
        <v>0</v>
      </c>
      <c r="K49" s="37">
        <f>'Stavební rozpočet'!I273</f>
        <v>0</v>
      </c>
      <c r="L49" s="38">
        <f>'Stavební rozpočet'!J273</f>
        <v>0</v>
      </c>
      <c r="M49" s="36" t="s">
        <v>92</v>
      </c>
      <c r="N49" s="37">
        <f t="shared" si="0"/>
        <v>0</v>
      </c>
      <c r="O49" s="2" t="s">
        <v>89</v>
      </c>
      <c r="P49" s="37">
        <f t="shared" si="1"/>
        <v>0</v>
      </c>
    </row>
    <row r="50" spans="1:16" x14ac:dyDescent="0.25">
      <c r="A50" s="1" t="s">
        <v>165</v>
      </c>
      <c r="B50" s="259" t="s">
        <v>166</v>
      </c>
      <c r="C50" s="259"/>
      <c r="D50" s="259"/>
      <c r="E50" s="259"/>
      <c r="F50" s="259"/>
      <c r="G50" s="259"/>
      <c r="H50" s="259"/>
      <c r="I50" s="259"/>
      <c r="J50" s="37">
        <f>'Stavební rozpočet'!H275</f>
        <v>0</v>
      </c>
      <c r="K50" s="37">
        <f>'Stavební rozpočet'!I275</f>
        <v>0</v>
      </c>
      <c r="L50" s="38">
        <f>'Stavební rozpočet'!J275</f>
        <v>0</v>
      </c>
      <c r="M50" s="36" t="s">
        <v>92</v>
      </c>
      <c r="N50" s="37">
        <f t="shared" si="0"/>
        <v>0</v>
      </c>
      <c r="O50" s="2" t="s">
        <v>89</v>
      </c>
      <c r="P50" s="37">
        <f t="shared" si="1"/>
        <v>0</v>
      </c>
    </row>
    <row r="51" spans="1:16" x14ac:dyDescent="0.25">
      <c r="A51" s="1" t="s">
        <v>167</v>
      </c>
      <c r="B51" s="259" t="s">
        <v>168</v>
      </c>
      <c r="C51" s="259"/>
      <c r="D51" s="259"/>
      <c r="E51" s="259"/>
      <c r="F51" s="259"/>
      <c r="G51" s="259"/>
      <c r="H51" s="259"/>
      <c r="I51" s="259"/>
      <c r="J51" s="37">
        <f>'Stavební rozpočet'!H280</f>
        <v>0</v>
      </c>
      <c r="K51" s="37">
        <f>'Stavební rozpočet'!I280</f>
        <v>0</v>
      </c>
      <c r="L51" s="38">
        <f>'Stavební rozpočet'!J280</f>
        <v>0</v>
      </c>
      <c r="M51" s="36" t="s">
        <v>92</v>
      </c>
      <c r="N51" s="37">
        <f t="shared" si="0"/>
        <v>0</v>
      </c>
      <c r="O51" s="2" t="s">
        <v>89</v>
      </c>
      <c r="P51" s="37">
        <f t="shared" si="1"/>
        <v>0</v>
      </c>
    </row>
    <row r="52" spans="1:16" x14ac:dyDescent="0.25">
      <c r="A52" s="1" t="s">
        <v>169</v>
      </c>
      <c r="B52" s="259" t="s">
        <v>170</v>
      </c>
      <c r="C52" s="259"/>
      <c r="D52" s="259"/>
      <c r="E52" s="259"/>
      <c r="F52" s="259"/>
      <c r="G52" s="259"/>
      <c r="H52" s="259"/>
      <c r="I52" s="259"/>
      <c r="J52" s="37">
        <f>'Stavební rozpočet'!H285</f>
        <v>0</v>
      </c>
      <c r="K52" s="37">
        <f>'Stavební rozpočet'!I285</f>
        <v>0</v>
      </c>
      <c r="L52" s="38">
        <f>'Stavební rozpočet'!J285</f>
        <v>0</v>
      </c>
      <c r="M52" s="36" t="s">
        <v>92</v>
      </c>
      <c r="N52" s="37">
        <f t="shared" si="0"/>
        <v>0</v>
      </c>
      <c r="O52" s="2" t="s">
        <v>89</v>
      </c>
      <c r="P52" s="37">
        <f t="shared" si="1"/>
        <v>0</v>
      </c>
    </row>
    <row r="53" spans="1:16" x14ac:dyDescent="0.25">
      <c r="A53" s="1" t="s">
        <v>171</v>
      </c>
      <c r="B53" s="259" t="s">
        <v>172</v>
      </c>
      <c r="C53" s="259"/>
      <c r="D53" s="259"/>
      <c r="E53" s="259"/>
      <c r="F53" s="259"/>
      <c r="G53" s="259"/>
      <c r="H53" s="259"/>
      <c r="I53" s="259"/>
      <c r="J53" s="37">
        <f>'Stavební rozpočet'!H295</f>
        <v>0</v>
      </c>
      <c r="K53" s="37">
        <f>'Stavební rozpočet'!I295</f>
        <v>0</v>
      </c>
      <c r="L53" s="38">
        <f>'Stavební rozpočet'!J295</f>
        <v>0</v>
      </c>
      <c r="M53" s="36" t="s">
        <v>92</v>
      </c>
      <c r="N53" s="37">
        <f t="shared" si="0"/>
        <v>0</v>
      </c>
      <c r="O53" s="2" t="s">
        <v>89</v>
      </c>
      <c r="P53" s="37">
        <f t="shared" si="1"/>
        <v>0</v>
      </c>
    </row>
    <row r="54" spans="1:16" x14ac:dyDescent="0.25">
      <c r="A54" s="1" t="s">
        <v>173</v>
      </c>
      <c r="B54" s="259" t="s">
        <v>174</v>
      </c>
      <c r="C54" s="259"/>
      <c r="D54" s="259"/>
      <c r="E54" s="259"/>
      <c r="F54" s="259"/>
      <c r="G54" s="259"/>
      <c r="H54" s="259"/>
      <c r="I54" s="259"/>
      <c r="J54" s="37">
        <f>'Stavební rozpočet'!H341</f>
        <v>0</v>
      </c>
      <c r="K54" s="37">
        <f>'Stavební rozpočet'!I341</f>
        <v>0</v>
      </c>
      <c r="L54" s="38">
        <f>'Stavební rozpočet'!J341</f>
        <v>0</v>
      </c>
      <c r="M54" s="36" t="s">
        <v>92</v>
      </c>
      <c r="N54" s="37">
        <f t="shared" si="0"/>
        <v>0</v>
      </c>
      <c r="O54" s="2" t="s">
        <v>89</v>
      </c>
      <c r="P54" s="37">
        <f t="shared" si="1"/>
        <v>0</v>
      </c>
    </row>
    <row r="55" spans="1:16" x14ac:dyDescent="0.25">
      <c r="A55" s="1" t="s">
        <v>175</v>
      </c>
      <c r="B55" s="259" t="s">
        <v>59</v>
      </c>
      <c r="C55" s="259"/>
      <c r="D55" s="259"/>
      <c r="E55" s="259"/>
      <c r="F55" s="259"/>
      <c r="G55" s="259"/>
      <c r="H55" s="259"/>
      <c r="I55" s="259"/>
      <c r="J55" s="37">
        <f>'Stavební rozpočet'!H343</f>
        <v>0</v>
      </c>
      <c r="K55" s="37">
        <f>'Stavební rozpočet'!I343</f>
        <v>0</v>
      </c>
      <c r="L55" s="38">
        <f>'Stavební rozpočet'!J343</f>
        <v>0</v>
      </c>
      <c r="M55" s="36" t="s">
        <v>88</v>
      </c>
      <c r="N55" s="37">
        <f t="shared" si="0"/>
        <v>0</v>
      </c>
      <c r="O55" s="2" t="s">
        <v>89</v>
      </c>
      <c r="P55" s="37">
        <f t="shared" si="1"/>
        <v>0</v>
      </c>
    </row>
    <row r="56" spans="1:16" x14ac:dyDescent="0.25">
      <c r="A56" s="1" t="s">
        <v>176</v>
      </c>
      <c r="B56" s="259" t="s">
        <v>70</v>
      </c>
      <c r="C56" s="259"/>
      <c r="D56" s="259"/>
      <c r="E56" s="259"/>
      <c r="F56" s="259"/>
      <c r="G56" s="259"/>
      <c r="H56" s="259"/>
      <c r="I56" s="259"/>
      <c r="J56" s="37">
        <f>'Stavební rozpočet'!H344</f>
        <v>0</v>
      </c>
      <c r="K56" s="37">
        <f>'Stavební rozpočet'!I344</f>
        <v>0</v>
      </c>
      <c r="L56" s="38">
        <f>'Stavební rozpočet'!J344</f>
        <v>0</v>
      </c>
      <c r="M56" s="36" t="s">
        <v>92</v>
      </c>
      <c r="N56" s="37">
        <f t="shared" si="0"/>
        <v>0</v>
      </c>
      <c r="O56" s="2" t="s">
        <v>89</v>
      </c>
      <c r="P56" s="37">
        <f t="shared" si="1"/>
        <v>0</v>
      </c>
    </row>
    <row r="57" spans="1:16" x14ac:dyDescent="0.25">
      <c r="A57" s="1" t="s">
        <v>177</v>
      </c>
      <c r="B57" s="259" t="s">
        <v>26</v>
      </c>
      <c r="C57" s="259"/>
      <c r="D57" s="259"/>
      <c r="E57" s="259"/>
      <c r="F57" s="259"/>
      <c r="G57" s="259"/>
      <c r="H57" s="259"/>
      <c r="I57" s="259"/>
      <c r="J57" s="37">
        <f>'Stavební rozpočet'!H347</f>
        <v>0</v>
      </c>
      <c r="K57" s="37">
        <f>'Stavební rozpočet'!I347</f>
        <v>0</v>
      </c>
      <c r="L57" s="38">
        <f>'Stavební rozpočet'!J347</f>
        <v>0</v>
      </c>
      <c r="M57" s="36" t="s">
        <v>92</v>
      </c>
      <c r="N57" s="37">
        <f t="shared" si="0"/>
        <v>0</v>
      </c>
      <c r="O57" s="2" t="s">
        <v>89</v>
      </c>
      <c r="P57" s="37">
        <f t="shared" si="1"/>
        <v>0</v>
      </c>
    </row>
    <row r="58" spans="1:16" x14ac:dyDescent="0.25">
      <c r="A58" s="1" t="s">
        <v>178</v>
      </c>
      <c r="B58" s="259" t="s">
        <v>72</v>
      </c>
      <c r="C58" s="259"/>
      <c r="D58" s="259"/>
      <c r="E58" s="259"/>
      <c r="F58" s="259"/>
      <c r="G58" s="259"/>
      <c r="H58" s="259"/>
      <c r="I58" s="259"/>
      <c r="J58" s="37">
        <f>'Stavební rozpočet'!H349</f>
        <v>0</v>
      </c>
      <c r="K58" s="37">
        <f>'Stavební rozpočet'!I349</f>
        <v>0</v>
      </c>
      <c r="L58" s="38">
        <f>'Stavební rozpočet'!J349</f>
        <v>0</v>
      </c>
      <c r="M58" s="36" t="s">
        <v>92</v>
      </c>
      <c r="N58" s="37">
        <f t="shared" si="0"/>
        <v>0</v>
      </c>
      <c r="O58" s="2" t="s">
        <v>89</v>
      </c>
      <c r="P58" s="37">
        <f t="shared" si="1"/>
        <v>0</v>
      </c>
    </row>
    <row r="59" spans="1:16" x14ac:dyDescent="0.25">
      <c r="A59" s="4" t="s">
        <v>179</v>
      </c>
      <c r="B59" s="295" t="s">
        <v>33</v>
      </c>
      <c r="C59" s="295"/>
      <c r="D59" s="295"/>
      <c r="E59" s="295"/>
      <c r="F59" s="295"/>
      <c r="G59" s="295"/>
      <c r="H59" s="295"/>
      <c r="I59" s="295"/>
      <c r="J59" s="39">
        <f>'Stavební rozpočet'!H351</f>
        <v>0</v>
      </c>
      <c r="K59" s="39">
        <f>'Stavební rozpočet'!I351</f>
        <v>0</v>
      </c>
      <c r="L59" s="40">
        <f>'Stavební rozpočet'!J351</f>
        <v>0</v>
      </c>
      <c r="M59" s="36" t="s">
        <v>92</v>
      </c>
      <c r="N59" s="37">
        <f t="shared" si="0"/>
        <v>0</v>
      </c>
      <c r="O59" s="2" t="s">
        <v>89</v>
      </c>
      <c r="P59" s="37">
        <f t="shared" si="1"/>
        <v>0</v>
      </c>
    </row>
    <row r="60" spans="1:16" x14ac:dyDescent="0.25">
      <c r="J60" s="329" t="s">
        <v>180</v>
      </c>
      <c r="K60" s="329"/>
      <c r="L60" s="41">
        <f>SUM(N12:N59)</f>
        <v>0</v>
      </c>
    </row>
    <row r="61" spans="1:16" x14ac:dyDescent="0.25">
      <c r="A61" s="42" t="s">
        <v>57</v>
      </c>
    </row>
    <row r="62" spans="1:16" ht="67.5" customHeight="1" x14ac:dyDescent="0.25">
      <c r="A62" s="258" t="s">
        <v>181</v>
      </c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</row>
  </sheetData>
  <sheetProtection password="CC89" sheet="1"/>
  <mergeCells count="78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J2:L3"/>
    <mergeCell ref="J4:L5"/>
    <mergeCell ref="J6:L7"/>
    <mergeCell ref="J8:L9"/>
    <mergeCell ref="B10:I10"/>
    <mergeCell ref="H8:H9"/>
    <mergeCell ref="I2:I3"/>
    <mergeCell ref="I4:I5"/>
    <mergeCell ref="I6:I7"/>
    <mergeCell ref="I8:I9"/>
    <mergeCell ref="B11:I11"/>
    <mergeCell ref="J10:L10"/>
    <mergeCell ref="B12:I12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3:I53"/>
    <mergeCell ref="B54:I54"/>
    <mergeCell ref="J60:K60"/>
    <mergeCell ref="A62:L62"/>
    <mergeCell ref="B55:I55"/>
    <mergeCell ref="B56:I56"/>
    <mergeCell ref="B57:I57"/>
    <mergeCell ref="B58:I58"/>
    <mergeCell ref="B59:I59"/>
  </mergeCells>
  <pageMargins left="0.393999993801117" right="0.393999993801117" top="0.59100002050399802" bottom="0.59100002050399802" header="0" footer="0"/>
  <pageSetup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357"/>
  <sheetViews>
    <sheetView workbookViewId="0">
      <pane ySplit="11" topLeftCell="A306" activePane="bottomLeft" state="frozen"/>
      <selection pane="bottomLeft" activeCell="G343" sqref="G343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300" t="s">
        <v>182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AS1" s="43">
        <f>SUM(AJ1:AJ2)</f>
        <v>0</v>
      </c>
      <c r="AT1" s="43">
        <f>SUM(AK1:AK2)</f>
        <v>0</v>
      </c>
      <c r="AU1" s="43">
        <f>SUM(AL1:AL2)</f>
        <v>0</v>
      </c>
    </row>
    <row r="2" spans="1:76" x14ac:dyDescent="0.25">
      <c r="A2" s="301" t="s">
        <v>1</v>
      </c>
      <c r="B2" s="302"/>
      <c r="C2" s="307" t="s">
        <v>183</v>
      </c>
      <c r="D2" s="308"/>
      <c r="E2" s="302" t="s">
        <v>79</v>
      </c>
      <c r="F2" s="302"/>
      <c r="G2" s="360" t="s">
        <v>81</v>
      </c>
      <c r="H2" s="298" t="s">
        <v>2</v>
      </c>
      <c r="I2" s="298" t="s">
        <v>184</v>
      </c>
      <c r="J2" s="302"/>
      <c r="K2" s="304"/>
    </row>
    <row r="3" spans="1:76" x14ac:dyDescent="0.25">
      <c r="A3" s="303"/>
      <c r="B3" s="259"/>
      <c r="C3" s="309"/>
      <c r="D3" s="309"/>
      <c r="E3" s="259"/>
      <c r="F3" s="259"/>
      <c r="G3" s="353"/>
      <c r="H3" s="259"/>
      <c r="I3" s="259"/>
      <c r="J3" s="259"/>
      <c r="K3" s="305"/>
    </row>
    <row r="4" spans="1:76" x14ac:dyDescent="0.25">
      <c r="A4" s="296" t="s">
        <v>5</v>
      </c>
      <c r="B4" s="259"/>
      <c r="C4" s="258" t="s">
        <v>81</v>
      </c>
      <c r="D4" s="259"/>
      <c r="E4" s="259" t="s">
        <v>10</v>
      </c>
      <c r="F4" s="259"/>
      <c r="G4" s="353" t="s">
        <v>185</v>
      </c>
      <c r="H4" s="258" t="s">
        <v>6</v>
      </c>
      <c r="I4" s="258" t="s">
        <v>186</v>
      </c>
      <c r="J4" s="259"/>
      <c r="K4" s="305"/>
    </row>
    <row r="5" spans="1:76" x14ac:dyDescent="0.25">
      <c r="A5" s="303"/>
      <c r="B5" s="259"/>
      <c r="C5" s="259"/>
      <c r="D5" s="259"/>
      <c r="E5" s="259"/>
      <c r="F5" s="259"/>
      <c r="G5" s="353"/>
      <c r="H5" s="259"/>
      <c r="I5" s="259"/>
      <c r="J5" s="259"/>
      <c r="K5" s="305"/>
    </row>
    <row r="6" spans="1:76" x14ac:dyDescent="0.25">
      <c r="A6" s="296" t="s">
        <v>8</v>
      </c>
      <c r="B6" s="259"/>
      <c r="C6" s="258" t="s">
        <v>187</v>
      </c>
      <c r="D6" s="259"/>
      <c r="E6" s="259" t="s">
        <v>11</v>
      </c>
      <c r="F6" s="259"/>
      <c r="G6" s="353" t="s">
        <v>81</v>
      </c>
      <c r="H6" s="258" t="s">
        <v>9</v>
      </c>
      <c r="I6" s="353" t="s">
        <v>188</v>
      </c>
      <c r="J6" s="353"/>
      <c r="K6" s="354"/>
    </row>
    <row r="7" spans="1:76" x14ac:dyDescent="0.25">
      <c r="A7" s="303"/>
      <c r="B7" s="259"/>
      <c r="C7" s="259"/>
      <c r="D7" s="259"/>
      <c r="E7" s="259"/>
      <c r="F7" s="259"/>
      <c r="G7" s="353"/>
      <c r="H7" s="259"/>
      <c r="I7" s="353"/>
      <c r="J7" s="353"/>
      <c r="K7" s="354"/>
    </row>
    <row r="8" spans="1:76" x14ac:dyDescent="0.25">
      <c r="A8" s="296" t="s">
        <v>13</v>
      </c>
      <c r="B8" s="259"/>
      <c r="C8" s="258" t="s">
        <v>81</v>
      </c>
      <c r="D8" s="259"/>
      <c r="E8" s="259" t="s">
        <v>80</v>
      </c>
      <c r="F8" s="259"/>
      <c r="G8" s="353" t="s">
        <v>185</v>
      </c>
      <c r="H8" s="258" t="s">
        <v>14</v>
      </c>
      <c r="I8" s="355" t="s">
        <v>189</v>
      </c>
      <c r="J8" s="353"/>
      <c r="K8" s="354"/>
    </row>
    <row r="9" spans="1:76" x14ac:dyDescent="0.25">
      <c r="A9" s="342"/>
      <c r="B9" s="337"/>
      <c r="C9" s="337"/>
      <c r="D9" s="337"/>
      <c r="E9" s="337"/>
      <c r="F9" s="337"/>
      <c r="G9" s="356"/>
      <c r="H9" s="337"/>
      <c r="I9" s="356"/>
      <c r="J9" s="356"/>
      <c r="K9" s="357"/>
    </row>
    <row r="10" spans="1:76" x14ac:dyDescent="0.25">
      <c r="A10" s="44" t="s">
        <v>190</v>
      </c>
      <c r="B10" s="45" t="s">
        <v>83</v>
      </c>
      <c r="C10" s="358" t="s">
        <v>84</v>
      </c>
      <c r="D10" s="359"/>
      <c r="E10" s="45" t="s">
        <v>191</v>
      </c>
      <c r="F10" s="46" t="s">
        <v>192</v>
      </c>
      <c r="G10" s="47" t="s">
        <v>193</v>
      </c>
      <c r="H10" s="333" t="s">
        <v>82</v>
      </c>
      <c r="I10" s="334"/>
      <c r="J10" s="335"/>
      <c r="K10" s="48" t="s">
        <v>194</v>
      </c>
      <c r="BK10" s="49" t="s">
        <v>195</v>
      </c>
      <c r="BL10" s="50" t="s">
        <v>196</v>
      </c>
      <c r="BW10" s="50" t="s">
        <v>197</v>
      </c>
    </row>
    <row r="11" spans="1:76" x14ac:dyDescent="0.25">
      <c r="A11" s="51" t="s">
        <v>81</v>
      </c>
      <c r="B11" s="52" t="s">
        <v>81</v>
      </c>
      <c r="C11" s="330" t="s">
        <v>198</v>
      </c>
      <c r="D11" s="350"/>
      <c r="E11" s="52" t="s">
        <v>81</v>
      </c>
      <c r="F11" s="52" t="s">
        <v>81</v>
      </c>
      <c r="G11" s="53" t="s">
        <v>199</v>
      </c>
      <c r="H11" s="30" t="s">
        <v>85</v>
      </c>
      <c r="I11" s="31" t="s">
        <v>27</v>
      </c>
      <c r="J11" s="32" t="s">
        <v>86</v>
      </c>
      <c r="K11" s="54" t="s">
        <v>200</v>
      </c>
      <c r="Z11" s="49" t="s">
        <v>201</v>
      </c>
      <c r="AA11" s="49" t="s">
        <v>202</v>
      </c>
      <c r="AB11" s="49" t="s">
        <v>203</v>
      </c>
      <c r="AC11" s="49" t="s">
        <v>204</v>
      </c>
      <c r="AD11" s="49" t="s">
        <v>205</v>
      </c>
      <c r="AE11" s="49" t="s">
        <v>206</v>
      </c>
      <c r="AF11" s="49" t="s">
        <v>207</v>
      </c>
      <c r="AG11" s="49" t="s">
        <v>208</v>
      </c>
      <c r="AH11" s="49" t="s">
        <v>209</v>
      </c>
      <c r="BH11" s="49" t="s">
        <v>210</v>
      </c>
      <c r="BI11" s="49" t="s">
        <v>211</v>
      </c>
      <c r="BJ11" s="49" t="s">
        <v>212</v>
      </c>
    </row>
    <row r="12" spans="1:76" x14ac:dyDescent="0.25">
      <c r="A12" s="55" t="s">
        <v>4</v>
      </c>
      <c r="B12" s="56" t="s">
        <v>4</v>
      </c>
      <c r="C12" s="351" t="s">
        <v>87</v>
      </c>
      <c r="D12" s="352"/>
      <c r="E12" s="57" t="s">
        <v>81</v>
      </c>
      <c r="F12" s="57" t="s">
        <v>81</v>
      </c>
      <c r="G12" s="58" t="s">
        <v>81</v>
      </c>
      <c r="H12" s="59">
        <f>H13+H17+H21+H24+H26+H28+H42+H44+H56+H61+H63+H68+H74+H83+H88+H97+H100+H103+H108+H114+H120+H132+H149+H152+H173+H178+H186+H202+H234+H239+H244+H250+H257+H260+H266+H269+H273+H275+H280+H285+H295+H341+H344+H347+H349+H351</f>
        <v>0</v>
      </c>
      <c r="I12" s="59">
        <f>I13+I17+I21+I24+I26+I28+I42+I44+I56+I61+I63+I68+I74+I83+I88+I97+I100+I103+I108+I114+I120+I132+I149+I152+I173+I178+I186+I202+I234+I239+I244+I250+I257+I260+I266+I269+I273+I275+I280+I285+I295+I341+I344+I347+I349+I351</f>
        <v>0</v>
      </c>
      <c r="J12" s="59">
        <f>J13+J17+J21+J24+J26+J28+J42+J44+J56+J61+J63+J68+J74+J83+J88+J97+J100+J103+J108+J114+J120+J132+J149+J152+J173+J178+J186+J202+J234+J239+J244+J250+J257+J260+J266+J269+J273+J275+J280+J285+J295+J341+J344+J347+J349+J351</f>
        <v>0</v>
      </c>
      <c r="K12" s="60" t="s">
        <v>4</v>
      </c>
    </row>
    <row r="13" spans="1:76" x14ac:dyDescent="0.25">
      <c r="A13" s="61" t="s">
        <v>4</v>
      </c>
      <c r="B13" s="62" t="s">
        <v>90</v>
      </c>
      <c r="C13" s="343" t="s">
        <v>91</v>
      </c>
      <c r="D13" s="344"/>
      <c r="E13" s="63" t="s">
        <v>81</v>
      </c>
      <c r="F13" s="63" t="s">
        <v>81</v>
      </c>
      <c r="G13" s="64" t="s">
        <v>81</v>
      </c>
      <c r="H13" s="43">
        <f>SUM(H14:H16)</f>
        <v>0</v>
      </c>
      <c r="I13" s="43">
        <f>SUM(I14:I16)</f>
        <v>0</v>
      </c>
      <c r="J13" s="43">
        <f>SUM(J14:J16)</f>
        <v>0</v>
      </c>
      <c r="K13" s="65" t="s">
        <v>4</v>
      </c>
      <c r="AI13" s="49" t="s">
        <v>89</v>
      </c>
      <c r="AS13" s="43">
        <f>SUM(AJ14:AJ16)</f>
        <v>0</v>
      </c>
      <c r="AT13" s="43">
        <f>SUM(AK14:AK16)</f>
        <v>0</v>
      </c>
      <c r="AU13" s="43">
        <f>SUM(AL14:AL16)</f>
        <v>0</v>
      </c>
    </row>
    <row r="14" spans="1:76" x14ac:dyDescent="0.25">
      <c r="A14" s="1" t="s">
        <v>213</v>
      </c>
      <c r="B14" s="2" t="s">
        <v>214</v>
      </c>
      <c r="C14" s="258" t="s">
        <v>215</v>
      </c>
      <c r="D14" s="259"/>
      <c r="E14" s="2" t="s">
        <v>216</v>
      </c>
      <c r="F14" s="37">
        <v>1.08</v>
      </c>
      <c r="G14" s="66">
        <v>0</v>
      </c>
      <c r="H14" s="37">
        <f>F14*AO14</f>
        <v>0</v>
      </c>
      <c r="I14" s="37">
        <f>F14*AP14</f>
        <v>0</v>
      </c>
      <c r="J14" s="37">
        <f>F14*G14</f>
        <v>0</v>
      </c>
      <c r="K14" s="67" t="s">
        <v>217</v>
      </c>
      <c r="Z14" s="37">
        <f>IF(AQ14="5",BJ14,0)</f>
        <v>0</v>
      </c>
      <c r="AB14" s="37">
        <f>IF(AQ14="1",BH14,0)</f>
        <v>0</v>
      </c>
      <c r="AC14" s="37">
        <f>IF(AQ14="1",BI14,0)</f>
        <v>0</v>
      </c>
      <c r="AD14" s="37">
        <f>IF(AQ14="7",BH14,0)</f>
        <v>0</v>
      </c>
      <c r="AE14" s="37">
        <f>IF(AQ14="7",BI14,0)</f>
        <v>0</v>
      </c>
      <c r="AF14" s="37">
        <f>IF(AQ14="2",BH14,0)</f>
        <v>0</v>
      </c>
      <c r="AG14" s="37">
        <f>IF(AQ14="2",BI14,0)</f>
        <v>0</v>
      </c>
      <c r="AH14" s="37">
        <f>IF(AQ14="0",BJ14,0)</f>
        <v>0</v>
      </c>
      <c r="AI14" s="49" t="s">
        <v>89</v>
      </c>
      <c r="AJ14" s="37">
        <f>IF(AN14=0,J14,0)</f>
        <v>0</v>
      </c>
      <c r="AK14" s="37">
        <f>IF(AN14=12,J14,0)</f>
        <v>0</v>
      </c>
      <c r="AL14" s="37">
        <f>IF(AN14=21,J14,0)</f>
        <v>0</v>
      </c>
      <c r="AN14" s="37">
        <v>21</v>
      </c>
      <c r="AO14" s="37">
        <f>G14*0</f>
        <v>0</v>
      </c>
      <c r="AP14" s="37">
        <f>G14*(1-0)</f>
        <v>0</v>
      </c>
      <c r="AQ14" s="68" t="s">
        <v>213</v>
      </c>
      <c r="AV14" s="37">
        <f>AW14+AX14</f>
        <v>0</v>
      </c>
      <c r="AW14" s="37">
        <f>F14*AO14</f>
        <v>0</v>
      </c>
      <c r="AX14" s="37">
        <f>F14*AP14</f>
        <v>0</v>
      </c>
      <c r="AY14" s="68" t="s">
        <v>218</v>
      </c>
      <c r="AZ14" s="68" t="s">
        <v>219</v>
      </c>
      <c r="BA14" s="49" t="s">
        <v>220</v>
      </c>
      <c r="BC14" s="37">
        <f>AW14+AX14</f>
        <v>0</v>
      </c>
      <c r="BD14" s="37">
        <f>G14/(100-BE14)*100</f>
        <v>0</v>
      </c>
      <c r="BE14" s="37">
        <v>0</v>
      </c>
      <c r="BF14" s="37">
        <f>14</f>
        <v>14</v>
      </c>
      <c r="BH14" s="37">
        <f>F14*AO14</f>
        <v>0</v>
      </c>
      <c r="BI14" s="37">
        <f>F14*AP14</f>
        <v>0</v>
      </c>
      <c r="BJ14" s="37">
        <f>F14*G14</f>
        <v>0</v>
      </c>
      <c r="BK14" s="37"/>
      <c r="BL14" s="37">
        <v>13</v>
      </c>
      <c r="BW14" s="37">
        <v>21</v>
      </c>
      <c r="BX14" s="3" t="s">
        <v>215</v>
      </c>
    </row>
    <row r="15" spans="1:76" x14ac:dyDescent="0.25">
      <c r="A15" s="1" t="s">
        <v>221</v>
      </c>
      <c r="B15" s="2" t="s">
        <v>222</v>
      </c>
      <c r="C15" s="258" t="s">
        <v>223</v>
      </c>
      <c r="D15" s="259"/>
      <c r="E15" s="2" t="s">
        <v>216</v>
      </c>
      <c r="F15" s="37">
        <v>9.8560800000000004</v>
      </c>
      <c r="G15" s="66">
        <v>0</v>
      </c>
      <c r="H15" s="37">
        <f>F15*AO15</f>
        <v>0</v>
      </c>
      <c r="I15" s="37">
        <f>F15*AP15</f>
        <v>0</v>
      </c>
      <c r="J15" s="37">
        <f>F15*G15</f>
        <v>0</v>
      </c>
      <c r="K15" s="67" t="s">
        <v>217</v>
      </c>
      <c r="Z15" s="37">
        <f>IF(AQ15="5",BJ15,0)</f>
        <v>0</v>
      </c>
      <c r="AB15" s="37">
        <f>IF(AQ15="1",BH15,0)</f>
        <v>0</v>
      </c>
      <c r="AC15" s="37">
        <f>IF(AQ15="1",BI15,0)</f>
        <v>0</v>
      </c>
      <c r="AD15" s="37">
        <f>IF(AQ15="7",BH15,0)</f>
        <v>0</v>
      </c>
      <c r="AE15" s="37">
        <f>IF(AQ15="7",BI15,0)</f>
        <v>0</v>
      </c>
      <c r="AF15" s="37">
        <f>IF(AQ15="2",BH15,0)</f>
        <v>0</v>
      </c>
      <c r="AG15" s="37">
        <f>IF(AQ15="2",BI15,0)</f>
        <v>0</v>
      </c>
      <c r="AH15" s="37">
        <f>IF(AQ15="0",BJ15,0)</f>
        <v>0</v>
      </c>
      <c r="AI15" s="49" t="s">
        <v>89</v>
      </c>
      <c r="AJ15" s="37">
        <f>IF(AN15=0,J15,0)</f>
        <v>0</v>
      </c>
      <c r="AK15" s="37">
        <f>IF(AN15=12,J15,0)</f>
        <v>0</v>
      </c>
      <c r="AL15" s="37">
        <f>IF(AN15=21,J15,0)</f>
        <v>0</v>
      </c>
      <c r="AN15" s="37">
        <v>21</v>
      </c>
      <c r="AO15" s="37">
        <f>G15*0</f>
        <v>0</v>
      </c>
      <c r="AP15" s="37">
        <f>G15*(1-0)</f>
        <v>0</v>
      </c>
      <c r="AQ15" s="68" t="s">
        <v>213</v>
      </c>
      <c r="AV15" s="37">
        <f>AW15+AX15</f>
        <v>0</v>
      </c>
      <c r="AW15" s="37">
        <f>F15*AO15</f>
        <v>0</v>
      </c>
      <c r="AX15" s="37">
        <f>F15*AP15</f>
        <v>0</v>
      </c>
      <c r="AY15" s="68" t="s">
        <v>218</v>
      </c>
      <c r="AZ15" s="68" t="s">
        <v>219</v>
      </c>
      <c r="BA15" s="49" t="s">
        <v>220</v>
      </c>
      <c r="BC15" s="37">
        <f>AW15+AX15</f>
        <v>0</v>
      </c>
      <c r="BD15" s="37">
        <f>G15/(100-BE15)*100</f>
        <v>0</v>
      </c>
      <c r="BE15" s="37">
        <v>0</v>
      </c>
      <c r="BF15" s="37">
        <f>15</f>
        <v>15</v>
      </c>
      <c r="BH15" s="37">
        <f>F15*AO15</f>
        <v>0</v>
      </c>
      <c r="BI15" s="37">
        <f>F15*AP15</f>
        <v>0</v>
      </c>
      <c r="BJ15" s="37">
        <f>F15*G15</f>
        <v>0</v>
      </c>
      <c r="BK15" s="37"/>
      <c r="BL15" s="37">
        <v>13</v>
      </c>
      <c r="BW15" s="37">
        <v>21</v>
      </c>
      <c r="BX15" s="3" t="s">
        <v>223</v>
      </c>
    </row>
    <row r="16" spans="1:76" x14ac:dyDescent="0.25">
      <c r="A16" s="1" t="s">
        <v>224</v>
      </c>
      <c r="B16" s="2" t="s">
        <v>225</v>
      </c>
      <c r="C16" s="258" t="s">
        <v>226</v>
      </c>
      <c r="D16" s="259"/>
      <c r="E16" s="2" t="s">
        <v>216</v>
      </c>
      <c r="F16" s="37">
        <v>4.9280400000000002</v>
      </c>
      <c r="G16" s="66">
        <v>0</v>
      </c>
      <c r="H16" s="37">
        <f>F16*AO16</f>
        <v>0</v>
      </c>
      <c r="I16" s="37">
        <f>F16*AP16</f>
        <v>0</v>
      </c>
      <c r="J16" s="37">
        <f>F16*G16</f>
        <v>0</v>
      </c>
      <c r="K16" s="67" t="s">
        <v>217</v>
      </c>
      <c r="Z16" s="37">
        <f>IF(AQ16="5",BJ16,0)</f>
        <v>0</v>
      </c>
      <c r="AB16" s="37">
        <f>IF(AQ16="1",BH16,0)</f>
        <v>0</v>
      </c>
      <c r="AC16" s="37">
        <f>IF(AQ16="1",BI16,0)</f>
        <v>0</v>
      </c>
      <c r="AD16" s="37">
        <f>IF(AQ16="7",BH16,0)</f>
        <v>0</v>
      </c>
      <c r="AE16" s="37">
        <f>IF(AQ16="7",BI16,0)</f>
        <v>0</v>
      </c>
      <c r="AF16" s="37">
        <f>IF(AQ16="2",BH16,0)</f>
        <v>0</v>
      </c>
      <c r="AG16" s="37">
        <f>IF(AQ16="2",BI16,0)</f>
        <v>0</v>
      </c>
      <c r="AH16" s="37">
        <f>IF(AQ16="0",BJ16,0)</f>
        <v>0</v>
      </c>
      <c r="AI16" s="49" t="s">
        <v>89</v>
      </c>
      <c r="AJ16" s="37">
        <f>IF(AN16=0,J16,0)</f>
        <v>0</v>
      </c>
      <c r="AK16" s="37">
        <f>IF(AN16=12,J16,0)</f>
        <v>0</v>
      </c>
      <c r="AL16" s="37">
        <f>IF(AN16=21,J16,0)</f>
        <v>0</v>
      </c>
      <c r="AN16" s="37">
        <v>21</v>
      </c>
      <c r="AO16" s="37">
        <f>G16*0</f>
        <v>0</v>
      </c>
      <c r="AP16" s="37">
        <f>G16*(1-0)</f>
        <v>0</v>
      </c>
      <c r="AQ16" s="68" t="s">
        <v>213</v>
      </c>
      <c r="AV16" s="37">
        <f>AW16+AX16</f>
        <v>0</v>
      </c>
      <c r="AW16" s="37">
        <f>F16*AO16</f>
        <v>0</v>
      </c>
      <c r="AX16" s="37">
        <f>F16*AP16</f>
        <v>0</v>
      </c>
      <c r="AY16" s="68" t="s">
        <v>218</v>
      </c>
      <c r="AZ16" s="68" t="s">
        <v>219</v>
      </c>
      <c r="BA16" s="49" t="s">
        <v>220</v>
      </c>
      <c r="BC16" s="37">
        <f>AW16+AX16</f>
        <v>0</v>
      </c>
      <c r="BD16" s="37">
        <f>G16/(100-BE16)*100</f>
        <v>0</v>
      </c>
      <c r="BE16" s="37">
        <v>0</v>
      </c>
      <c r="BF16" s="37">
        <f>16</f>
        <v>16</v>
      </c>
      <c r="BH16" s="37">
        <f>F16*AO16</f>
        <v>0</v>
      </c>
      <c r="BI16" s="37">
        <f>F16*AP16</f>
        <v>0</v>
      </c>
      <c r="BJ16" s="37">
        <f>F16*G16</f>
        <v>0</v>
      </c>
      <c r="BK16" s="37"/>
      <c r="BL16" s="37">
        <v>13</v>
      </c>
      <c r="BW16" s="37">
        <v>21</v>
      </c>
      <c r="BX16" s="3" t="s">
        <v>226</v>
      </c>
    </row>
    <row r="17" spans="1:76" x14ac:dyDescent="0.25">
      <c r="A17" s="61" t="s">
        <v>4</v>
      </c>
      <c r="B17" s="62" t="s">
        <v>93</v>
      </c>
      <c r="C17" s="343" t="s">
        <v>94</v>
      </c>
      <c r="D17" s="344"/>
      <c r="E17" s="63" t="s">
        <v>81</v>
      </c>
      <c r="F17" s="63" t="s">
        <v>81</v>
      </c>
      <c r="G17" s="64" t="s">
        <v>81</v>
      </c>
      <c r="H17" s="43">
        <f>SUM(H18:H20)</f>
        <v>0</v>
      </c>
      <c r="I17" s="43">
        <f>SUM(I18:I20)</f>
        <v>0</v>
      </c>
      <c r="J17" s="43">
        <f>SUM(J18:J20)</f>
        <v>0</v>
      </c>
      <c r="K17" s="65" t="s">
        <v>4</v>
      </c>
      <c r="AI17" s="49" t="s">
        <v>89</v>
      </c>
      <c r="AS17" s="43">
        <f>SUM(AJ18:AJ20)</f>
        <v>0</v>
      </c>
      <c r="AT17" s="43">
        <f>SUM(AK18:AK20)</f>
        <v>0</v>
      </c>
      <c r="AU17" s="43">
        <f>SUM(AL18:AL20)</f>
        <v>0</v>
      </c>
    </row>
    <row r="18" spans="1:76" x14ac:dyDescent="0.25">
      <c r="A18" s="1" t="s">
        <v>227</v>
      </c>
      <c r="B18" s="2" t="s">
        <v>228</v>
      </c>
      <c r="C18" s="258" t="s">
        <v>229</v>
      </c>
      <c r="D18" s="259"/>
      <c r="E18" s="2" t="s">
        <v>216</v>
      </c>
      <c r="F18" s="37">
        <v>10.93608</v>
      </c>
      <c r="G18" s="66">
        <v>0</v>
      </c>
      <c r="H18" s="37">
        <f>F18*AO18</f>
        <v>0</v>
      </c>
      <c r="I18" s="37">
        <f>F18*AP18</f>
        <v>0</v>
      </c>
      <c r="J18" s="37">
        <f>F18*G18</f>
        <v>0</v>
      </c>
      <c r="K18" s="67" t="s">
        <v>217</v>
      </c>
      <c r="Z18" s="37">
        <f>IF(AQ18="5",BJ18,0)</f>
        <v>0</v>
      </c>
      <c r="AB18" s="37">
        <f>IF(AQ18="1",BH18,0)</f>
        <v>0</v>
      </c>
      <c r="AC18" s="37">
        <f>IF(AQ18="1",BI18,0)</f>
        <v>0</v>
      </c>
      <c r="AD18" s="37">
        <f>IF(AQ18="7",BH18,0)</f>
        <v>0</v>
      </c>
      <c r="AE18" s="37">
        <f>IF(AQ18="7",BI18,0)</f>
        <v>0</v>
      </c>
      <c r="AF18" s="37">
        <f>IF(AQ18="2",BH18,0)</f>
        <v>0</v>
      </c>
      <c r="AG18" s="37">
        <f>IF(AQ18="2",BI18,0)</f>
        <v>0</v>
      </c>
      <c r="AH18" s="37">
        <f>IF(AQ18="0",BJ18,0)</f>
        <v>0</v>
      </c>
      <c r="AI18" s="49" t="s">
        <v>89</v>
      </c>
      <c r="AJ18" s="37">
        <f>IF(AN18=0,J18,0)</f>
        <v>0</v>
      </c>
      <c r="AK18" s="37">
        <f>IF(AN18=12,J18,0)</f>
        <v>0</v>
      </c>
      <c r="AL18" s="37">
        <f>IF(AN18=21,J18,0)</f>
        <v>0</v>
      </c>
      <c r="AN18" s="37">
        <v>21</v>
      </c>
      <c r="AO18" s="37">
        <f>G18*0</f>
        <v>0</v>
      </c>
      <c r="AP18" s="37">
        <f>G18*(1-0)</f>
        <v>0</v>
      </c>
      <c r="AQ18" s="68" t="s">
        <v>213</v>
      </c>
      <c r="AV18" s="37">
        <f>AW18+AX18</f>
        <v>0</v>
      </c>
      <c r="AW18" s="37">
        <f>F18*AO18</f>
        <v>0</v>
      </c>
      <c r="AX18" s="37">
        <f>F18*AP18</f>
        <v>0</v>
      </c>
      <c r="AY18" s="68" t="s">
        <v>230</v>
      </c>
      <c r="AZ18" s="68" t="s">
        <v>219</v>
      </c>
      <c r="BA18" s="49" t="s">
        <v>220</v>
      </c>
      <c r="BC18" s="37">
        <f>AW18+AX18</f>
        <v>0</v>
      </c>
      <c r="BD18" s="37">
        <f>G18/(100-BE18)*100</f>
        <v>0</v>
      </c>
      <c r="BE18" s="37">
        <v>0</v>
      </c>
      <c r="BF18" s="37">
        <f>18</f>
        <v>18</v>
      </c>
      <c r="BH18" s="37">
        <f>F18*AO18</f>
        <v>0</v>
      </c>
      <c r="BI18" s="37">
        <f>F18*AP18</f>
        <v>0</v>
      </c>
      <c r="BJ18" s="37">
        <f>F18*G18</f>
        <v>0</v>
      </c>
      <c r="BK18" s="37"/>
      <c r="BL18" s="37">
        <v>16</v>
      </c>
      <c r="BW18" s="37">
        <v>21</v>
      </c>
      <c r="BX18" s="3" t="s">
        <v>229</v>
      </c>
    </row>
    <row r="19" spans="1:76" x14ac:dyDescent="0.25">
      <c r="A19" s="1" t="s">
        <v>231</v>
      </c>
      <c r="B19" s="2" t="s">
        <v>232</v>
      </c>
      <c r="C19" s="258" t="s">
        <v>233</v>
      </c>
      <c r="D19" s="259"/>
      <c r="E19" s="2" t="s">
        <v>216</v>
      </c>
      <c r="F19" s="37">
        <v>10.93608</v>
      </c>
      <c r="G19" s="66">
        <v>0</v>
      </c>
      <c r="H19" s="37">
        <f>F19*AO19</f>
        <v>0</v>
      </c>
      <c r="I19" s="37">
        <f>F19*AP19</f>
        <v>0</v>
      </c>
      <c r="J19" s="37">
        <f>F19*G19</f>
        <v>0</v>
      </c>
      <c r="K19" s="67" t="s">
        <v>217</v>
      </c>
      <c r="Z19" s="37">
        <f>IF(AQ19="5",BJ19,0)</f>
        <v>0</v>
      </c>
      <c r="AB19" s="37">
        <f>IF(AQ19="1",BH19,0)</f>
        <v>0</v>
      </c>
      <c r="AC19" s="37">
        <f>IF(AQ19="1",BI19,0)</f>
        <v>0</v>
      </c>
      <c r="AD19" s="37">
        <f>IF(AQ19="7",BH19,0)</f>
        <v>0</v>
      </c>
      <c r="AE19" s="37">
        <f>IF(AQ19="7",BI19,0)</f>
        <v>0</v>
      </c>
      <c r="AF19" s="37">
        <f>IF(AQ19="2",BH19,0)</f>
        <v>0</v>
      </c>
      <c r="AG19" s="37">
        <f>IF(AQ19="2",BI19,0)</f>
        <v>0</v>
      </c>
      <c r="AH19" s="37">
        <f>IF(AQ19="0",BJ19,0)</f>
        <v>0</v>
      </c>
      <c r="AI19" s="49" t="s">
        <v>89</v>
      </c>
      <c r="AJ19" s="37">
        <f>IF(AN19=0,J19,0)</f>
        <v>0</v>
      </c>
      <c r="AK19" s="37">
        <f>IF(AN19=12,J19,0)</f>
        <v>0</v>
      </c>
      <c r="AL19" s="37">
        <f>IF(AN19=21,J19,0)</f>
        <v>0</v>
      </c>
      <c r="AN19" s="37">
        <v>21</v>
      </c>
      <c r="AO19" s="37">
        <f>G19*0</f>
        <v>0</v>
      </c>
      <c r="AP19" s="37">
        <f>G19*(1-0)</f>
        <v>0</v>
      </c>
      <c r="AQ19" s="68" t="s">
        <v>213</v>
      </c>
      <c r="AV19" s="37">
        <f>AW19+AX19</f>
        <v>0</v>
      </c>
      <c r="AW19" s="37">
        <f>F19*AO19</f>
        <v>0</v>
      </c>
      <c r="AX19" s="37">
        <f>F19*AP19</f>
        <v>0</v>
      </c>
      <c r="AY19" s="68" t="s">
        <v>230</v>
      </c>
      <c r="AZ19" s="68" t="s">
        <v>219</v>
      </c>
      <c r="BA19" s="49" t="s">
        <v>220</v>
      </c>
      <c r="BC19" s="37">
        <f>AW19+AX19</f>
        <v>0</v>
      </c>
      <c r="BD19" s="37">
        <f>G19/(100-BE19)*100</f>
        <v>0</v>
      </c>
      <c r="BE19" s="37">
        <v>0</v>
      </c>
      <c r="BF19" s="37">
        <f>19</f>
        <v>19</v>
      </c>
      <c r="BH19" s="37">
        <f>F19*AO19</f>
        <v>0</v>
      </c>
      <c r="BI19" s="37">
        <f>F19*AP19</f>
        <v>0</v>
      </c>
      <c r="BJ19" s="37">
        <f>F19*G19</f>
        <v>0</v>
      </c>
      <c r="BK19" s="37"/>
      <c r="BL19" s="37">
        <v>16</v>
      </c>
      <c r="BW19" s="37">
        <v>21</v>
      </c>
      <c r="BX19" s="3" t="s">
        <v>233</v>
      </c>
    </row>
    <row r="20" spans="1:76" x14ac:dyDescent="0.25">
      <c r="A20" s="1" t="s">
        <v>234</v>
      </c>
      <c r="B20" s="2" t="s">
        <v>235</v>
      </c>
      <c r="C20" s="258" t="s">
        <v>236</v>
      </c>
      <c r="D20" s="259"/>
      <c r="E20" s="2" t="s">
        <v>216</v>
      </c>
      <c r="F20" s="37">
        <v>6.3771899999999997</v>
      </c>
      <c r="G20" s="66">
        <v>0</v>
      </c>
      <c r="H20" s="37">
        <f>F20*AO20</f>
        <v>0</v>
      </c>
      <c r="I20" s="37">
        <f>F20*AP20</f>
        <v>0</v>
      </c>
      <c r="J20" s="37">
        <f>F20*G20</f>
        <v>0</v>
      </c>
      <c r="K20" s="67" t="s">
        <v>217</v>
      </c>
      <c r="Z20" s="37">
        <f>IF(AQ20="5",BJ20,0)</f>
        <v>0</v>
      </c>
      <c r="AB20" s="37">
        <f>IF(AQ20="1",BH20,0)</f>
        <v>0</v>
      </c>
      <c r="AC20" s="37">
        <f>IF(AQ20="1",BI20,0)</f>
        <v>0</v>
      </c>
      <c r="AD20" s="37">
        <f>IF(AQ20="7",BH20,0)</f>
        <v>0</v>
      </c>
      <c r="AE20" s="37">
        <f>IF(AQ20="7",BI20,0)</f>
        <v>0</v>
      </c>
      <c r="AF20" s="37">
        <f>IF(AQ20="2",BH20,0)</f>
        <v>0</v>
      </c>
      <c r="AG20" s="37">
        <f>IF(AQ20="2",BI20,0)</f>
        <v>0</v>
      </c>
      <c r="AH20" s="37">
        <f>IF(AQ20="0",BJ20,0)</f>
        <v>0</v>
      </c>
      <c r="AI20" s="49" t="s">
        <v>89</v>
      </c>
      <c r="AJ20" s="37">
        <f>IF(AN20=0,J20,0)</f>
        <v>0</v>
      </c>
      <c r="AK20" s="37">
        <f>IF(AN20=12,J20,0)</f>
        <v>0</v>
      </c>
      <c r="AL20" s="37">
        <f>IF(AN20=21,J20,0)</f>
        <v>0</v>
      </c>
      <c r="AN20" s="37">
        <v>21</v>
      </c>
      <c r="AO20" s="37">
        <f>G20*0</f>
        <v>0</v>
      </c>
      <c r="AP20" s="37">
        <f>G20*(1-0)</f>
        <v>0</v>
      </c>
      <c r="AQ20" s="68" t="s">
        <v>213</v>
      </c>
      <c r="AV20" s="37">
        <f>AW20+AX20</f>
        <v>0</v>
      </c>
      <c r="AW20" s="37">
        <f>F20*AO20</f>
        <v>0</v>
      </c>
      <c r="AX20" s="37">
        <f>F20*AP20</f>
        <v>0</v>
      </c>
      <c r="AY20" s="68" t="s">
        <v>230</v>
      </c>
      <c r="AZ20" s="68" t="s">
        <v>219</v>
      </c>
      <c r="BA20" s="49" t="s">
        <v>220</v>
      </c>
      <c r="BC20" s="37">
        <f>AW20+AX20</f>
        <v>0</v>
      </c>
      <c r="BD20" s="37">
        <f>G20/(100-BE20)*100</f>
        <v>0</v>
      </c>
      <c r="BE20" s="37">
        <v>0</v>
      </c>
      <c r="BF20" s="37">
        <f>20</f>
        <v>20</v>
      </c>
      <c r="BH20" s="37">
        <f>F20*AO20</f>
        <v>0</v>
      </c>
      <c r="BI20" s="37">
        <f>F20*AP20</f>
        <v>0</v>
      </c>
      <c r="BJ20" s="37">
        <f>F20*G20</f>
        <v>0</v>
      </c>
      <c r="BK20" s="37"/>
      <c r="BL20" s="37">
        <v>16</v>
      </c>
      <c r="BW20" s="37">
        <v>21</v>
      </c>
      <c r="BX20" s="3" t="s">
        <v>236</v>
      </c>
    </row>
    <row r="21" spans="1:76" x14ac:dyDescent="0.25">
      <c r="A21" s="61" t="s">
        <v>4</v>
      </c>
      <c r="B21" s="62" t="s">
        <v>95</v>
      </c>
      <c r="C21" s="343" t="s">
        <v>96</v>
      </c>
      <c r="D21" s="344"/>
      <c r="E21" s="63" t="s">
        <v>81</v>
      </c>
      <c r="F21" s="63" t="s">
        <v>81</v>
      </c>
      <c r="G21" s="64" t="s">
        <v>81</v>
      </c>
      <c r="H21" s="43">
        <f>SUM(H22:H23)</f>
        <v>0</v>
      </c>
      <c r="I21" s="43">
        <f>SUM(I22:I23)</f>
        <v>0</v>
      </c>
      <c r="J21" s="43">
        <f>SUM(J22:J23)</f>
        <v>0</v>
      </c>
      <c r="K21" s="65" t="s">
        <v>4</v>
      </c>
      <c r="AI21" s="49" t="s">
        <v>89</v>
      </c>
      <c r="AS21" s="43">
        <f>SUM(AJ22:AJ23)</f>
        <v>0</v>
      </c>
      <c r="AT21" s="43">
        <f>SUM(AK22:AK23)</f>
        <v>0</v>
      </c>
      <c r="AU21" s="43">
        <f>SUM(AL22:AL23)</f>
        <v>0</v>
      </c>
    </row>
    <row r="22" spans="1:76" x14ac:dyDescent="0.25">
      <c r="A22" s="1" t="s">
        <v>237</v>
      </c>
      <c r="B22" s="2" t="s">
        <v>238</v>
      </c>
      <c r="C22" s="258" t="s">
        <v>239</v>
      </c>
      <c r="D22" s="259"/>
      <c r="E22" s="2" t="s">
        <v>216</v>
      </c>
      <c r="F22" s="37">
        <v>4.5588899999999999</v>
      </c>
      <c r="G22" s="66">
        <v>0</v>
      </c>
      <c r="H22" s="37">
        <f>F22*AO22</f>
        <v>0</v>
      </c>
      <c r="I22" s="37">
        <f>F22*AP22</f>
        <v>0</v>
      </c>
      <c r="J22" s="37">
        <f>F22*G22</f>
        <v>0</v>
      </c>
      <c r="K22" s="67" t="s">
        <v>217</v>
      </c>
      <c r="Z22" s="37">
        <f>IF(AQ22="5",BJ22,0)</f>
        <v>0</v>
      </c>
      <c r="AB22" s="37">
        <f>IF(AQ22="1",BH22,0)</f>
        <v>0</v>
      </c>
      <c r="AC22" s="37">
        <f>IF(AQ22="1",BI22,0)</f>
        <v>0</v>
      </c>
      <c r="AD22" s="37">
        <f>IF(AQ22="7",BH22,0)</f>
        <v>0</v>
      </c>
      <c r="AE22" s="37">
        <f>IF(AQ22="7",BI22,0)</f>
        <v>0</v>
      </c>
      <c r="AF22" s="37">
        <f>IF(AQ22="2",BH22,0)</f>
        <v>0</v>
      </c>
      <c r="AG22" s="37">
        <f>IF(AQ22="2",BI22,0)</f>
        <v>0</v>
      </c>
      <c r="AH22" s="37">
        <f>IF(AQ22="0",BJ22,0)</f>
        <v>0</v>
      </c>
      <c r="AI22" s="49" t="s">
        <v>89</v>
      </c>
      <c r="AJ22" s="37">
        <f>IF(AN22=0,J22,0)</f>
        <v>0</v>
      </c>
      <c r="AK22" s="37">
        <f>IF(AN22=12,J22,0)</f>
        <v>0</v>
      </c>
      <c r="AL22" s="37">
        <f>IF(AN22=21,J22,0)</f>
        <v>0</v>
      </c>
      <c r="AN22" s="37">
        <v>21</v>
      </c>
      <c r="AO22" s="37">
        <f>G22*0</f>
        <v>0</v>
      </c>
      <c r="AP22" s="37">
        <f>G22*(1-0)</f>
        <v>0</v>
      </c>
      <c r="AQ22" s="68" t="s">
        <v>213</v>
      </c>
      <c r="AV22" s="37">
        <f>AW22+AX22</f>
        <v>0</v>
      </c>
      <c r="AW22" s="37">
        <f>F22*AO22</f>
        <v>0</v>
      </c>
      <c r="AX22" s="37">
        <f>F22*AP22</f>
        <v>0</v>
      </c>
      <c r="AY22" s="68" t="s">
        <v>240</v>
      </c>
      <c r="AZ22" s="68" t="s">
        <v>219</v>
      </c>
      <c r="BA22" s="49" t="s">
        <v>220</v>
      </c>
      <c r="BC22" s="37">
        <f>AW22+AX22</f>
        <v>0</v>
      </c>
      <c r="BD22" s="37">
        <f>G22/(100-BE22)*100</f>
        <v>0</v>
      </c>
      <c r="BE22" s="37">
        <v>0</v>
      </c>
      <c r="BF22" s="37">
        <f>22</f>
        <v>22</v>
      </c>
      <c r="BH22" s="37">
        <f>F22*AO22</f>
        <v>0</v>
      </c>
      <c r="BI22" s="37">
        <f>F22*AP22</f>
        <v>0</v>
      </c>
      <c r="BJ22" s="37">
        <f>F22*G22</f>
        <v>0</v>
      </c>
      <c r="BK22" s="37"/>
      <c r="BL22" s="37">
        <v>17</v>
      </c>
      <c r="BW22" s="37">
        <v>21</v>
      </c>
      <c r="BX22" s="3" t="s">
        <v>239</v>
      </c>
    </row>
    <row r="23" spans="1:76" x14ac:dyDescent="0.25">
      <c r="A23" s="1" t="s">
        <v>241</v>
      </c>
      <c r="B23" s="2" t="s">
        <v>242</v>
      </c>
      <c r="C23" s="258" t="s">
        <v>243</v>
      </c>
      <c r="D23" s="259"/>
      <c r="E23" s="2" t="s">
        <v>216</v>
      </c>
      <c r="F23" s="37">
        <v>0.2442</v>
      </c>
      <c r="G23" s="66">
        <v>0</v>
      </c>
      <c r="H23" s="37">
        <f>F23*AO23</f>
        <v>0</v>
      </c>
      <c r="I23" s="37">
        <f>F23*AP23</f>
        <v>0</v>
      </c>
      <c r="J23" s="37">
        <f>F23*G23</f>
        <v>0</v>
      </c>
      <c r="K23" s="67" t="s">
        <v>217</v>
      </c>
      <c r="Z23" s="37">
        <f>IF(AQ23="5",BJ23,0)</f>
        <v>0</v>
      </c>
      <c r="AB23" s="37">
        <f>IF(AQ23="1",BH23,0)</f>
        <v>0</v>
      </c>
      <c r="AC23" s="37">
        <f>IF(AQ23="1",BI23,0)</f>
        <v>0</v>
      </c>
      <c r="AD23" s="37">
        <f>IF(AQ23="7",BH23,0)</f>
        <v>0</v>
      </c>
      <c r="AE23" s="37">
        <f>IF(AQ23="7",BI23,0)</f>
        <v>0</v>
      </c>
      <c r="AF23" s="37">
        <f>IF(AQ23="2",BH23,0)</f>
        <v>0</v>
      </c>
      <c r="AG23" s="37">
        <f>IF(AQ23="2",BI23,0)</f>
        <v>0</v>
      </c>
      <c r="AH23" s="37">
        <f>IF(AQ23="0",BJ23,0)</f>
        <v>0</v>
      </c>
      <c r="AI23" s="49" t="s">
        <v>89</v>
      </c>
      <c r="AJ23" s="37">
        <f>IF(AN23=0,J23,0)</f>
        <v>0</v>
      </c>
      <c r="AK23" s="37">
        <f>IF(AN23=12,J23,0)</f>
        <v>0</v>
      </c>
      <c r="AL23" s="37">
        <f>IF(AN23=21,J23,0)</f>
        <v>0</v>
      </c>
      <c r="AN23" s="37">
        <v>21</v>
      </c>
      <c r="AO23" s="37">
        <f>G23*0.512977077</f>
        <v>0</v>
      </c>
      <c r="AP23" s="37">
        <f>G23*(1-0.512977077)</f>
        <v>0</v>
      </c>
      <c r="AQ23" s="68" t="s">
        <v>213</v>
      </c>
      <c r="AV23" s="37">
        <f>AW23+AX23</f>
        <v>0</v>
      </c>
      <c r="AW23" s="37">
        <f>F23*AO23</f>
        <v>0</v>
      </c>
      <c r="AX23" s="37">
        <f>F23*AP23</f>
        <v>0</v>
      </c>
      <c r="AY23" s="68" t="s">
        <v>240</v>
      </c>
      <c r="AZ23" s="68" t="s">
        <v>219</v>
      </c>
      <c r="BA23" s="49" t="s">
        <v>220</v>
      </c>
      <c r="BC23" s="37">
        <f>AW23+AX23</f>
        <v>0</v>
      </c>
      <c r="BD23" s="37">
        <f>G23/(100-BE23)*100</f>
        <v>0</v>
      </c>
      <c r="BE23" s="37">
        <v>0</v>
      </c>
      <c r="BF23" s="37">
        <f>23</f>
        <v>23</v>
      </c>
      <c r="BH23" s="37">
        <f>F23*AO23</f>
        <v>0</v>
      </c>
      <c r="BI23" s="37">
        <f>F23*AP23</f>
        <v>0</v>
      </c>
      <c r="BJ23" s="37">
        <f>F23*G23</f>
        <v>0</v>
      </c>
      <c r="BK23" s="37"/>
      <c r="BL23" s="37">
        <v>17</v>
      </c>
      <c r="BW23" s="37">
        <v>21</v>
      </c>
      <c r="BX23" s="3" t="s">
        <v>243</v>
      </c>
    </row>
    <row r="24" spans="1:76" x14ac:dyDescent="0.25">
      <c r="A24" s="61" t="s">
        <v>4</v>
      </c>
      <c r="B24" s="62" t="s">
        <v>97</v>
      </c>
      <c r="C24" s="343" t="s">
        <v>98</v>
      </c>
      <c r="D24" s="344"/>
      <c r="E24" s="63" t="s">
        <v>81</v>
      </c>
      <c r="F24" s="63" t="s">
        <v>81</v>
      </c>
      <c r="G24" s="64" t="s">
        <v>81</v>
      </c>
      <c r="H24" s="43">
        <f>SUM(H25:H25)</f>
        <v>0</v>
      </c>
      <c r="I24" s="43">
        <f>SUM(I25:I25)</f>
        <v>0</v>
      </c>
      <c r="J24" s="43">
        <f>SUM(J25:J25)</f>
        <v>0</v>
      </c>
      <c r="K24" s="65" t="s">
        <v>4</v>
      </c>
      <c r="AI24" s="49" t="s">
        <v>89</v>
      </c>
      <c r="AS24" s="43">
        <f>SUM(AJ25:AJ25)</f>
        <v>0</v>
      </c>
      <c r="AT24" s="43">
        <f>SUM(AK25:AK25)</f>
        <v>0</v>
      </c>
      <c r="AU24" s="43">
        <f>SUM(AL25:AL25)</f>
        <v>0</v>
      </c>
    </row>
    <row r="25" spans="1:76" x14ac:dyDescent="0.25">
      <c r="A25" s="1" t="s">
        <v>244</v>
      </c>
      <c r="B25" s="2" t="s">
        <v>245</v>
      </c>
      <c r="C25" s="258" t="s">
        <v>246</v>
      </c>
      <c r="D25" s="259"/>
      <c r="E25" s="2" t="s">
        <v>216</v>
      </c>
      <c r="F25" s="37">
        <v>6.3771899999999997</v>
      </c>
      <c r="G25" s="66">
        <v>0</v>
      </c>
      <c r="H25" s="37">
        <f>F25*AO25</f>
        <v>0</v>
      </c>
      <c r="I25" s="37">
        <f>F25*AP25</f>
        <v>0</v>
      </c>
      <c r="J25" s="37">
        <f>F25*G25</f>
        <v>0</v>
      </c>
      <c r="K25" s="67" t="s">
        <v>217</v>
      </c>
      <c r="Z25" s="37">
        <f>IF(AQ25="5",BJ25,0)</f>
        <v>0</v>
      </c>
      <c r="AB25" s="37">
        <f>IF(AQ25="1",BH25,0)</f>
        <v>0</v>
      </c>
      <c r="AC25" s="37">
        <f>IF(AQ25="1",BI25,0)</f>
        <v>0</v>
      </c>
      <c r="AD25" s="37">
        <f>IF(AQ25="7",BH25,0)</f>
        <v>0</v>
      </c>
      <c r="AE25" s="37">
        <f>IF(AQ25="7",BI25,0)</f>
        <v>0</v>
      </c>
      <c r="AF25" s="37">
        <f>IF(AQ25="2",BH25,0)</f>
        <v>0</v>
      </c>
      <c r="AG25" s="37">
        <f>IF(AQ25="2",BI25,0)</f>
        <v>0</v>
      </c>
      <c r="AH25" s="37">
        <f>IF(AQ25="0",BJ25,0)</f>
        <v>0</v>
      </c>
      <c r="AI25" s="49" t="s">
        <v>89</v>
      </c>
      <c r="AJ25" s="37">
        <f>IF(AN25=0,J25,0)</f>
        <v>0</v>
      </c>
      <c r="AK25" s="37">
        <f>IF(AN25=12,J25,0)</f>
        <v>0</v>
      </c>
      <c r="AL25" s="37">
        <f>IF(AN25=21,J25,0)</f>
        <v>0</v>
      </c>
      <c r="AN25" s="37">
        <v>21</v>
      </c>
      <c r="AO25" s="37">
        <f>G25*0</f>
        <v>0</v>
      </c>
      <c r="AP25" s="37">
        <f>G25*(1-0)</f>
        <v>0</v>
      </c>
      <c r="AQ25" s="68" t="s">
        <v>213</v>
      </c>
      <c r="AV25" s="37">
        <f>AW25+AX25</f>
        <v>0</v>
      </c>
      <c r="AW25" s="37">
        <f>F25*AO25</f>
        <v>0</v>
      </c>
      <c r="AX25" s="37">
        <f>F25*AP25</f>
        <v>0</v>
      </c>
      <c r="AY25" s="68" t="s">
        <v>247</v>
      </c>
      <c r="AZ25" s="68" t="s">
        <v>219</v>
      </c>
      <c r="BA25" s="49" t="s">
        <v>220</v>
      </c>
      <c r="BC25" s="37">
        <f>AW25+AX25</f>
        <v>0</v>
      </c>
      <c r="BD25" s="37">
        <f>G25/(100-BE25)*100</f>
        <v>0</v>
      </c>
      <c r="BE25" s="37">
        <v>0</v>
      </c>
      <c r="BF25" s="37">
        <f>25</f>
        <v>25</v>
      </c>
      <c r="BH25" s="37">
        <f>F25*AO25</f>
        <v>0</v>
      </c>
      <c r="BI25" s="37">
        <f>F25*AP25</f>
        <v>0</v>
      </c>
      <c r="BJ25" s="37">
        <f>F25*G25</f>
        <v>0</v>
      </c>
      <c r="BK25" s="37"/>
      <c r="BL25" s="37">
        <v>19</v>
      </c>
      <c r="BW25" s="37">
        <v>21</v>
      </c>
      <c r="BX25" s="3" t="s">
        <v>246</v>
      </c>
    </row>
    <row r="26" spans="1:76" x14ac:dyDescent="0.25">
      <c r="A26" s="61" t="s">
        <v>4</v>
      </c>
      <c r="B26" s="62" t="s">
        <v>99</v>
      </c>
      <c r="C26" s="343" t="s">
        <v>100</v>
      </c>
      <c r="D26" s="344"/>
      <c r="E26" s="63" t="s">
        <v>81</v>
      </c>
      <c r="F26" s="63" t="s">
        <v>81</v>
      </c>
      <c r="G26" s="64" t="s">
        <v>81</v>
      </c>
      <c r="H26" s="43">
        <f>SUM(H27:H27)</f>
        <v>0</v>
      </c>
      <c r="I26" s="43">
        <f>SUM(I27:I27)</f>
        <v>0</v>
      </c>
      <c r="J26" s="43">
        <f>SUM(J27:J27)</f>
        <v>0</v>
      </c>
      <c r="K26" s="65" t="s">
        <v>4</v>
      </c>
      <c r="AI26" s="49" t="s">
        <v>89</v>
      </c>
      <c r="AS26" s="43">
        <f>SUM(AJ27:AJ27)</f>
        <v>0</v>
      </c>
      <c r="AT26" s="43">
        <f>SUM(AK27:AK27)</f>
        <v>0</v>
      </c>
      <c r="AU26" s="43">
        <f>SUM(AL27:AL27)</f>
        <v>0</v>
      </c>
    </row>
    <row r="27" spans="1:76" x14ac:dyDescent="0.25">
      <c r="A27" s="1" t="s">
        <v>248</v>
      </c>
      <c r="B27" s="2" t="s">
        <v>249</v>
      </c>
      <c r="C27" s="258" t="s">
        <v>250</v>
      </c>
      <c r="D27" s="259"/>
      <c r="E27" s="2" t="s">
        <v>251</v>
      </c>
      <c r="F27" s="37">
        <v>2.99</v>
      </c>
      <c r="G27" s="66">
        <v>0</v>
      </c>
      <c r="H27" s="37">
        <f>F27*AO27</f>
        <v>0</v>
      </c>
      <c r="I27" s="37">
        <f>F27*AP27</f>
        <v>0</v>
      </c>
      <c r="J27" s="37">
        <f>F27*G27</f>
        <v>0</v>
      </c>
      <c r="K27" s="67" t="s">
        <v>217</v>
      </c>
      <c r="Z27" s="37">
        <f>IF(AQ27="5",BJ27,0)</f>
        <v>0</v>
      </c>
      <c r="AB27" s="37">
        <f>IF(AQ27="1",BH27,0)</f>
        <v>0</v>
      </c>
      <c r="AC27" s="37">
        <f>IF(AQ27="1",BI27,0)</f>
        <v>0</v>
      </c>
      <c r="AD27" s="37">
        <f>IF(AQ27="7",BH27,0)</f>
        <v>0</v>
      </c>
      <c r="AE27" s="37">
        <f>IF(AQ27="7",BI27,0)</f>
        <v>0</v>
      </c>
      <c r="AF27" s="37">
        <f>IF(AQ27="2",BH27,0)</f>
        <v>0</v>
      </c>
      <c r="AG27" s="37">
        <f>IF(AQ27="2",BI27,0)</f>
        <v>0</v>
      </c>
      <c r="AH27" s="37">
        <f>IF(AQ27="0",BJ27,0)</f>
        <v>0</v>
      </c>
      <c r="AI27" s="49" t="s">
        <v>89</v>
      </c>
      <c r="AJ27" s="37">
        <f>IF(AN27=0,J27,0)</f>
        <v>0</v>
      </c>
      <c r="AK27" s="37">
        <f>IF(AN27=12,J27,0)</f>
        <v>0</v>
      </c>
      <c r="AL27" s="37">
        <f>IF(AN27=21,J27,0)</f>
        <v>0</v>
      </c>
      <c r="AN27" s="37">
        <v>21</v>
      </c>
      <c r="AO27" s="37">
        <f>G27*0</f>
        <v>0</v>
      </c>
      <c r="AP27" s="37">
        <f>G27*(1-0)</f>
        <v>0</v>
      </c>
      <c r="AQ27" s="68" t="s">
        <v>213</v>
      </c>
      <c r="AV27" s="37">
        <f>AW27+AX27</f>
        <v>0</v>
      </c>
      <c r="AW27" s="37">
        <f>F27*AO27</f>
        <v>0</v>
      </c>
      <c r="AX27" s="37">
        <f>F27*AP27</f>
        <v>0</v>
      </c>
      <c r="AY27" s="68" t="s">
        <v>252</v>
      </c>
      <c r="AZ27" s="68" t="s">
        <v>253</v>
      </c>
      <c r="BA27" s="49" t="s">
        <v>220</v>
      </c>
      <c r="BC27" s="37">
        <f>AW27+AX27</f>
        <v>0</v>
      </c>
      <c r="BD27" s="37">
        <f>G27/(100-BE27)*100</f>
        <v>0</v>
      </c>
      <c r="BE27" s="37">
        <v>0</v>
      </c>
      <c r="BF27" s="37">
        <f>27</f>
        <v>27</v>
      </c>
      <c r="BH27" s="37">
        <f>F27*AO27</f>
        <v>0</v>
      </c>
      <c r="BI27" s="37">
        <f>F27*AP27</f>
        <v>0</v>
      </c>
      <c r="BJ27" s="37">
        <f>F27*G27</f>
        <v>0</v>
      </c>
      <c r="BK27" s="37"/>
      <c r="BL27" s="37">
        <v>21</v>
      </c>
      <c r="BW27" s="37">
        <v>21</v>
      </c>
      <c r="BX27" s="3" t="s">
        <v>250</v>
      </c>
    </row>
    <row r="28" spans="1:76" x14ac:dyDescent="0.25">
      <c r="A28" s="61" t="s">
        <v>4</v>
      </c>
      <c r="B28" s="62" t="s">
        <v>101</v>
      </c>
      <c r="C28" s="343" t="s">
        <v>102</v>
      </c>
      <c r="D28" s="344"/>
      <c r="E28" s="63" t="s">
        <v>81</v>
      </c>
      <c r="F28" s="63" t="s">
        <v>81</v>
      </c>
      <c r="G28" s="64" t="s">
        <v>81</v>
      </c>
      <c r="H28" s="43">
        <f>SUM(H29:H41)</f>
        <v>0</v>
      </c>
      <c r="I28" s="43">
        <f>SUM(I29:I41)</f>
        <v>0</v>
      </c>
      <c r="J28" s="43">
        <f>SUM(J29:J41)</f>
        <v>0</v>
      </c>
      <c r="K28" s="65" t="s">
        <v>4</v>
      </c>
      <c r="AI28" s="49" t="s">
        <v>89</v>
      </c>
      <c r="AS28" s="43">
        <f>SUM(AJ29:AJ41)</f>
        <v>0</v>
      </c>
      <c r="AT28" s="43">
        <f>SUM(AK29:AK41)</f>
        <v>0</v>
      </c>
      <c r="AU28" s="43">
        <f>SUM(AL29:AL41)</f>
        <v>0</v>
      </c>
    </row>
    <row r="29" spans="1:76" x14ac:dyDescent="0.25">
      <c r="A29" s="1" t="s">
        <v>254</v>
      </c>
      <c r="B29" s="2" t="s">
        <v>255</v>
      </c>
      <c r="C29" s="258" t="s">
        <v>256</v>
      </c>
      <c r="D29" s="259"/>
      <c r="E29" s="2" t="s">
        <v>216</v>
      </c>
      <c r="F29" s="37">
        <v>0.74</v>
      </c>
      <c r="G29" s="66">
        <v>0</v>
      </c>
      <c r="H29" s="37">
        <f t="shared" ref="H29:H41" si="0">F29*AO29</f>
        <v>0</v>
      </c>
      <c r="I29" s="37">
        <f t="shared" ref="I29:I41" si="1">F29*AP29</f>
        <v>0</v>
      </c>
      <c r="J29" s="37">
        <f t="shared" ref="J29:J41" si="2">F29*G29</f>
        <v>0</v>
      </c>
      <c r="K29" s="67" t="s">
        <v>217</v>
      </c>
      <c r="Z29" s="37">
        <f t="shared" ref="Z29:Z41" si="3">IF(AQ29="5",BJ29,0)</f>
        <v>0</v>
      </c>
      <c r="AB29" s="37">
        <f t="shared" ref="AB29:AB41" si="4">IF(AQ29="1",BH29,0)</f>
        <v>0</v>
      </c>
      <c r="AC29" s="37">
        <f t="shared" ref="AC29:AC41" si="5">IF(AQ29="1",BI29,0)</f>
        <v>0</v>
      </c>
      <c r="AD29" s="37">
        <f t="shared" ref="AD29:AD41" si="6">IF(AQ29="7",BH29,0)</f>
        <v>0</v>
      </c>
      <c r="AE29" s="37">
        <f t="shared" ref="AE29:AE41" si="7">IF(AQ29="7",BI29,0)</f>
        <v>0</v>
      </c>
      <c r="AF29" s="37">
        <f t="shared" ref="AF29:AF41" si="8">IF(AQ29="2",BH29,0)</f>
        <v>0</v>
      </c>
      <c r="AG29" s="37">
        <f t="shared" ref="AG29:AG41" si="9">IF(AQ29="2",BI29,0)</f>
        <v>0</v>
      </c>
      <c r="AH29" s="37">
        <f t="shared" ref="AH29:AH41" si="10">IF(AQ29="0",BJ29,0)</f>
        <v>0</v>
      </c>
      <c r="AI29" s="49" t="s">
        <v>89</v>
      </c>
      <c r="AJ29" s="37">
        <f t="shared" ref="AJ29:AJ41" si="11">IF(AN29=0,J29,0)</f>
        <v>0</v>
      </c>
      <c r="AK29" s="37">
        <f t="shared" ref="AK29:AK41" si="12">IF(AN29=12,J29,0)</f>
        <v>0</v>
      </c>
      <c r="AL29" s="37">
        <f t="shared" ref="AL29:AL41" si="13">IF(AN29=21,J29,0)</f>
        <v>0</v>
      </c>
      <c r="AN29" s="37">
        <v>21</v>
      </c>
      <c r="AO29" s="37">
        <f>G29*0.936282167</f>
        <v>0</v>
      </c>
      <c r="AP29" s="37">
        <f>G29*(1-0.936282167)</f>
        <v>0</v>
      </c>
      <c r="AQ29" s="68" t="s">
        <v>213</v>
      </c>
      <c r="AV29" s="37">
        <f t="shared" ref="AV29:AV41" si="14">AW29+AX29</f>
        <v>0</v>
      </c>
      <c r="AW29" s="37">
        <f t="shared" ref="AW29:AW41" si="15">F29*AO29</f>
        <v>0</v>
      </c>
      <c r="AX29" s="37">
        <f t="shared" ref="AX29:AX41" si="16">F29*AP29</f>
        <v>0</v>
      </c>
      <c r="AY29" s="68" t="s">
        <v>257</v>
      </c>
      <c r="AZ29" s="68" t="s">
        <v>253</v>
      </c>
      <c r="BA29" s="49" t="s">
        <v>220</v>
      </c>
      <c r="BC29" s="37">
        <f t="shared" ref="BC29:BC41" si="17">AW29+AX29</f>
        <v>0</v>
      </c>
      <c r="BD29" s="37">
        <f t="shared" ref="BD29:BD41" si="18">G29/(100-BE29)*100</f>
        <v>0</v>
      </c>
      <c r="BE29" s="37">
        <v>0</v>
      </c>
      <c r="BF29" s="37">
        <f>29</f>
        <v>29</v>
      </c>
      <c r="BH29" s="37">
        <f t="shared" ref="BH29:BH41" si="19">F29*AO29</f>
        <v>0</v>
      </c>
      <c r="BI29" s="37">
        <f t="shared" ref="BI29:BI41" si="20">F29*AP29</f>
        <v>0</v>
      </c>
      <c r="BJ29" s="37">
        <f t="shared" ref="BJ29:BJ41" si="21">F29*G29</f>
        <v>0</v>
      </c>
      <c r="BK29" s="37"/>
      <c r="BL29" s="37">
        <v>27</v>
      </c>
      <c r="BW29" s="37">
        <v>21</v>
      </c>
      <c r="BX29" s="3" t="s">
        <v>256</v>
      </c>
    </row>
    <row r="30" spans="1:76" x14ac:dyDescent="0.25">
      <c r="A30" s="1" t="s">
        <v>258</v>
      </c>
      <c r="B30" s="2" t="s">
        <v>259</v>
      </c>
      <c r="C30" s="258" t="s">
        <v>260</v>
      </c>
      <c r="D30" s="259"/>
      <c r="E30" s="2" t="s">
        <v>251</v>
      </c>
      <c r="F30" s="37">
        <v>5.18</v>
      </c>
      <c r="G30" s="66">
        <v>0</v>
      </c>
      <c r="H30" s="37">
        <f t="shared" si="0"/>
        <v>0</v>
      </c>
      <c r="I30" s="37">
        <f t="shared" si="1"/>
        <v>0</v>
      </c>
      <c r="J30" s="37">
        <f t="shared" si="2"/>
        <v>0</v>
      </c>
      <c r="K30" s="67" t="s">
        <v>217</v>
      </c>
      <c r="Z30" s="37">
        <f t="shared" si="3"/>
        <v>0</v>
      </c>
      <c r="AB30" s="37">
        <f t="shared" si="4"/>
        <v>0</v>
      </c>
      <c r="AC30" s="37">
        <f t="shared" si="5"/>
        <v>0</v>
      </c>
      <c r="AD30" s="37">
        <f t="shared" si="6"/>
        <v>0</v>
      </c>
      <c r="AE30" s="37">
        <f t="shared" si="7"/>
        <v>0</v>
      </c>
      <c r="AF30" s="37">
        <f t="shared" si="8"/>
        <v>0</v>
      </c>
      <c r="AG30" s="37">
        <f t="shared" si="9"/>
        <v>0</v>
      </c>
      <c r="AH30" s="37">
        <f t="shared" si="10"/>
        <v>0</v>
      </c>
      <c r="AI30" s="49" t="s">
        <v>89</v>
      </c>
      <c r="AJ30" s="37">
        <f t="shared" si="11"/>
        <v>0</v>
      </c>
      <c r="AK30" s="37">
        <f t="shared" si="12"/>
        <v>0</v>
      </c>
      <c r="AL30" s="37">
        <f t="shared" si="13"/>
        <v>0</v>
      </c>
      <c r="AN30" s="37">
        <v>21</v>
      </c>
      <c r="AO30" s="37">
        <f>G30*0.439195347</f>
        <v>0</v>
      </c>
      <c r="AP30" s="37">
        <f>G30*(1-0.439195347)</f>
        <v>0</v>
      </c>
      <c r="AQ30" s="68" t="s">
        <v>213</v>
      </c>
      <c r="AV30" s="37">
        <f t="shared" si="14"/>
        <v>0</v>
      </c>
      <c r="AW30" s="37">
        <f t="shared" si="15"/>
        <v>0</v>
      </c>
      <c r="AX30" s="37">
        <f t="shared" si="16"/>
        <v>0</v>
      </c>
      <c r="AY30" s="68" t="s">
        <v>257</v>
      </c>
      <c r="AZ30" s="68" t="s">
        <v>253</v>
      </c>
      <c r="BA30" s="49" t="s">
        <v>220</v>
      </c>
      <c r="BC30" s="37">
        <f t="shared" si="17"/>
        <v>0</v>
      </c>
      <c r="BD30" s="37">
        <f t="shared" si="18"/>
        <v>0</v>
      </c>
      <c r="BE30" s="37">
        <v>0</v>
      </c>
      <c r="BF30" s="37">
        <f>30</f>
        <v>30</v>
      </c>
      <c r="BH30" s="37">
        <f t="shared" si="19"/>
        <v>0</v>
      </c>
      <c r="BI30" s="37">
        <f t="shared" si="20"/>
        <v>0</v>
      </c>
      <c r="BJ30" s="37">
        <f t="shared" si="21"/>
        <v>0</v>
      </c>
      <c r="BK30" s="37"/>
      <c r="BL30" s="37">
        <v>27</v>
      </c>
      <c r="BW30" s="37">
        <v>21</v>
      </c>
      <c r="BX30" s="3" t="s">
        <v>260</v>
      </c>
    </row>
    <row r="31" spans="1:76" x14ac:dyDescent="0.25">
      <c r="A31" s="1" t="s">
        <v>90</v>
      </c>
      <c r="B31" s="2" t="s">
        <v>261</v>
      </c>
      <c r="C31" s="258" t="s">
        <v>262</v>
      </c>
      <c r="D31" s="259"/>
      <c r="E31" s="2" t="s">
        <v>251</v>
      </c>
      <c r="F31" s="37">
        <v>5.18</v>
      </c>
      <c r="G31" s="66">
        <v>0</v>
      </c>
      <c r="H31" s="37">
        <f t="shared" si="0"/>
        <v>0</v>
      </c>
      <c r="I31" s="37">
        <f t="shared" si="1"/>
        <v>0</v>
      </c>
      <c r="J31" s="37">
        <f t="shared" si="2"/>
        <v>0</v>
      </c>
      <c r="K31" s="67" t="s">
        <v>217</v>
      </c>
      <c r="Z31" s="37">
        <f t="shared" si="3"/>
        <v>0</v>
      </c>
      <c r="AB31" s="37">
        <f t="shared" si="4"/>
        <v>0</v>
      </c>
      <c r="AC31" s="37">
        <f t="shared" si="5"/>
        <v>0</v>
      </c>
      <c r="AD31" s="37">
        <f t="shared" si="6"/>
        <v>0</v>
      </c>
      <c r="AE31" s="37">
        <f t="shared" si="7"/>
        <v>0</v>
      </c>
      <c r="AF31" s="37">
        <f t="shared" si="8"/>
        <v>0</v>
      </c>
      <c r="AG31" s="37">
        <f t="shared" si="9"/>
        <v>0</v>
      </c>
      <c r="AH31" s="37">
        <f t="shared" si="10"/>
        <v>0</v>
      </c>
      <c r="AI31" s="49" t="s">
        <v>89</v>
      </c>
      <c r="AJ31" s="37">
        <f t="shared" si="11"/>
        <v>0</v>
      </c>
      <c r="AK31" s="37">
        <f t="shared" si="12"/>
        <v>0</v>
      </c>
      <c r="AL31" s="37">
        <f t="shared" si="13"/>
        <v>0</v>
      </c>
      <c r="AN31" s="37">
        <v>21</v>
      </c>
      <c r="AO31" s="37">
        <f>G31*0</f>
        <v>0</v>
      </c>
      <c r="AP31" s="37">
        <f>G31*(1-0)</f>
        <v>0</v>
      </c>
      <c r="AQ31" s="68" t="s">
        <v>213</v>
      </c>
      <c r="AV31" s="37">
        <f t="shared" si="14"/>
        <v>0</v>
      </c>
      <c r="AW31" s="37">
        <f t="shared" si="15"/>
        <v>0</v>
      </c>
      <c r="AX31" s="37">
        <f t="shared" si="16"/>
        <v>0</v>
      </c>
      <c r="AY31" s="68" t="s">
        <v>257</v>
      </c>
      <c r="AZ31" s="68" t="s">
        <v>253</v>
      </c>
      <c r="BA31" s="49" t="s">
        <v>220</v>
      </c>
      <c r="BC31" s="37">
        <f t="shared" si="17"/>
        <v>0</v>
      </c>
      <c r="BD31" s="37">
        <f t="shared" si="18"/>
        <v>0</v>
      </c>
      <c r="BE31" s="37">
        <v>0</v>
      </c>
      <c r="BF31" s="37">
        <f>31</f>
        <v>31</v>
      </c>
      <c r="BH31" s="37">
        <f t="shared" si="19"/>
        <v>0</v>
      </c>
      <c r="BI31" s="37">
        <f t="shared" si="20"/>
        <v>0</v>
      </c>
      <c r="BJ31" s="37">
        <f t="shared" si="21"/>
        <v>0</v>
      </c>
      <c r="BK31" s="37"/>
      <c r="BL31" s="37">
        <v>27</v>
      </c>
      <c r="BW31" s="37">
        <v>21</v>
      </c>
      <c r="BX31" s="3" t="s">
        <v>262</v>
      </c>
    </row>
    <row r="32" spans="1:76" x14ac:dyDescent="0.25">
      <c r="A32" s="1" t="s">
        <v>263</v>
      </c>
      <c r="B32" s="2" t="s">
        <v>264</v>
      </c>
      <c r="C32" s="258" t="s">
        <v>265</v>
      </c>
      <c r="D32" s="259"/>
      <c r="E32" s="2" t="s">
        <v>266</v>
      </c>
      <c r="F32" s="37">
        <v>2.495E-2</v>
      </c>
      <c r="G32" s="66">
        <v>0</v>
      </c>
      <c r="H32" s="37">
        <f t="shared" si="0"/>
        <v>0</v>
      </c>
      <c r="I32" s="37">
        <f t="shared" si="1"/>
        <v>0</v>
      </c>
      <c r="J32" s="37">
        <f t="shared" si="2"/>
        <v>0</v>
      </c>
      <c r="K32" s="67" t="s">
        <v>217</v>
      </c>
      <c r="Z32" s="37">
        <f t="shared" si="3"/>
        <v>0</v>
      </c>
      <c r="AB32" s="37">
        <f t="shared" si="4"/>
        <v>0</v>
      </c>
      <c r="AC32" s="37">
        <f t="shared" si="5"/>
        <v>0</v>
      </c>
      <c r="AD32" s="37">
        <f t="shared" si="6"/>
        <v>0</v>
      </c>
      <c r="AE32" s="37">
        <f t="shared" si="7"/>
        <v>0</v>
      </c>
      <c r="AF32" s="37">
        <f t="shared" si="8"/>
        <v>0</v>
      </c>
      <c r="AG32" s="37">
        <f t="shared" si="9"/>
        <v>0</v>
      </c>
      <c r="AH32" s="37">
        <f t="shared" si="10"/>
        <v>0</v>
      </c>
      <c r="AI32" s="49" t="s">
        <v>89</v>
      </c>
      <c r="AJ32" s="37">
        <f t="shared" si="11"/>
        <v>0</v>
      </c>
      <c r="AK32" s="37">
        <f t="shared" si="12"/>
        <v>0</v>
      </c>
      <c r="AL32" s="37">
        <f t="shared" si="13"/>
        <v>0</v>
      </c>
      <c r="AN32" s="37">
        <v>21</v>
      </c>
      <c r="AO32" s="37">
        <f>G32*0.600921865</f>
        <v>0</v>
      </c>
      <c r="AP32" s="37">
        <f>G32*(1-0.600921865)</f>
        <v>0</v>
      </c>
      <c r="AQ32" s="68" t="s">
        <v>213</v>
      </c>
      <c r="AV32" s="37">
        <f t="shared" si="14"/>
        <v>0</v>
      </c>
      <c r="AW32" s="37">
        <f t="shared" si="15"/>
        <v>0</v>
      </c>
      <c r="AX32" s="37">
        <f t="shared" si="16"/>
        <v>0</v>
      </c>
      <c r="AY32" s="68" t="s">
        <v>257</v>
      </c>
      <c r="AZ32" s="68" t="s">
        <v>253</v>
      </c>
      <c r="BA32" s="49" t="s">
        <v>220</v>
      </c>
      <c r="BC32" s="37">
        <f t="shared" si="17"/>
        <v>0</v>
      </c>
      <c r="BD32" s="37">
        <f t="shared" si="18"/>
        <v>0</v>
      </c>
      <c r="BE32" s="37">
        <v>0</v>
      </c>
      <c r="BF32" s="37">
        <f>32</f>
        <v>32</v>
      </c>
      <c r="BH32" s="37">
        <f t="shared" si="19"/>
        <v>0</v>
      </c>
      <c r="BI32" s="37">
        <f t="shared" si="20"/>
        <v>0</v>
      </c>
      <c r="BJ32" s="37">
        <f t="shared" si="21"/>
        <v>0</v>
      </c>
      <c r="BK32" s="37"/>
      <c r="BL32" s="37">
        <v>27</v>
      </c>
      <c r="BW32" s="37">
        <v>21</v>
      </c>
      <c r="BX32" s="3" t="s">
        <v>265</v>
      </c>
    </row>
    <row r="33" spans="1:76" x14ac:dyDescent="0.25">
      <c r="A33" s="1" t="s">
        <v>267</v>
      </c>
      <c r="B33" s="2" t="s">
        <v>268</v>
      </c>
      <c r="C33" s="258" t="s">
        <v>269</v>
      </c>
      <c r="D33" s="259"/>
      <c r="E33" s="2" t="s">
        <v>216</v>
      </c>
      <c r="F33" s="37">
        <v>1.9063000000000001</v>
      </c>
      <c r="G33" s="66">
        <v>0</v>
      </c>
      <c r="H33" s="37">
        <f t="shared" si="0"/>
        <v>0</v>
      </c>
      <c r="I33" s="37">
        <f t="shared" si="1"/>
        <v>0</v>
      </c>
      <c r="J33" s="37">
        <f t="shared" si="2"/>
        <v>0</v>
      </c>
      <c r="K33" s="67" t="s">
        <v>217</v>
      </c>
      <c r="Z33" s="37">
        <f t="shared" si="3"/>
        <v>0</v>
      </c>
      <c r="AB33" s="37">
        <f t="shared" si="4"/>
        <v>0</v>
      </c>
      <c r="AC33" s="37">
        <f t="shared" si="5"/>
        <v>0</v>
      </c>
      <c r="AD33" s="37">
        <f t="shared" si="6"/>
        <v>0</v>
      </c>
      <c r="AE33" s="37">
        <f t="shared" si="7"/>
        <v>0</v>
      </c>
      <c r="AF33" s="37">
        <f t="shared" si="8"/>
        <v>0</v>
      </c>
      <c r="AG33" s="37">
        <f t="shared" si="9"/>
        <v>0</v>
      </c>
      <c r="AH33" s="37">
        <f t="shared" si="10"/>
        <v>0</v>
      </c>
      <c r="AI33" s="49" t="s">
        <v>89</v>
      </c>
      <c r="AJ33" s="37">
        <f t="shared" si="11"/>
        <v>0</v>
      </c>
      <c r="AK33" s="37">
        <f t="shared" si="12"/>
        <v>0</v>
      </c>
      <c r="AL33" s="37">
        <f t="shared" si="13"/>
        <v>0</v>
      </c>
      <c r="AN33" s="37">
        <v>21</v>
      </c>
      <c r="AO33" s="37">
        <f>G33*0.915893273</f>
        <v>0</v>
      </c>
      <c r="AP33" s="37">
        <f>G33*(1-0.915893273)</f>
        <v>0</v>
      </c>
      <c r="AQ33" s="68" t="s">
        <v>213</v>
      </c>
      <c r="AV33" s="37">
        <f t="shared" si="14"/>
        <v>0</v>
      </c>
      <c r="AW33" s="37">
        <f t="shared" si="15"/>
        <v>0</v>
      </c>
      <c r="AX33" s="37">
        <f t="shared" si="16"/>
        <v>0</v>
      </c>
      <c r="AY33" s="68" t="s">
        <v>257</v>
      </c>
      <c r="AZ33" s="68" t="s">
        <v>253</v>
      </c>
      <c r="BA33" s="49" t="s">
        <v>220</v>
      </c>
      <c r="BC33" s="37">
        <f t="shared" si="17"/>
        <v>0</v>
      </c>
      <c r="BD33" s="37">
        <f t="shared" si="18"/>
        <v>0</v>
      </c>
      <c r="BE33" s="37">
        <v>0</v>
      </c>
      <c r="BF33" s="37">
        <f>33</f>
        <v>33</v>
      </c>
      <c r="BH33" s="37">
        <f t="shared" si="19"/>
        <v>0</v>
      </c>
      <c r="BI33" s="37">
        <f t="shared" si="20"/>
        <v>0</v>
      </c>
      <c r="BJ33" s="37">
        <f t="shared" si="21"/>
        <v>0</v>
      </c>
      <c r="BK33" s="37"/>
      <c r="BL33" s="37">
        <v>27</v>
      </c>
      <c r="BW33" s="37">
        <v>21</v>
      </c>
      <c r="BX33" s="3" t="s">
        <v>269</v>
      </c>
    </row>
    <row r="34" spans="1:76" x14ac:dyDescent="0.25">
      <c r="A34" s="1" t="s">
        <v>93</v>
      </c>
      <c r="B34" s="2" t="s">
        <v>270</v>
      </c>
      <c r="C34" s="258" t="s">
        <v>271</v>
      </c>
      <c r="D34" s="259"/>
      <c r="E34" s="2" t="s">
        <v>251</v>
      </c>
      <c r="F34" s="37">
        <v>8.76</v>
      </c>
      <c r="G34" s="66">
        <v>0</v>
      </c>
      <c r="H34" s="37">
        <f t="shared" si="0"/>
        <v>0</v>
      </c>
      <c r="I34" s="37">
        <f t="shared" si="1"/>
        <v>0</v>
      </c>
      <c r="J34" s="37">
        <f t="shared" si="2"/>
        <v>0</v>
      </c>
      <c r="K34" s="67" t="s">
        <v>217</v>
      </c>
      <c r="Z34" s="37">
        <f t="shared" si="3"/>
        <v>0</v>
      </c>
      <c r="AB34" s="37">
        <f t="shared" si="4"/>
        <v>0</v>
      </c>
      <c r="AC34" s="37">
        <f t="shared" si="5"/>
        <v>0</v>
      </c>
      <c r="AD34" s="37">
        <f t="shared" si="6"/>
        <v>0</v>
      </c>
      <c r="AE34" s="37">
        <f t="shared" si="7"/>
        <v>0</v>
      </c>
      <c r="AF34" s="37">
        <f t="shared" si="8"/>
        <v>0</v>
      </c>
      <c r="AG34" s="37">
        <f t="shared" si="9"/>
        <v>0</v>
      </c>
      <c r="AH34" s="37">
        <f t="shared" si="10"/>
        <v>0</v>
      </c>
      <c r="AI34" s="49" t="s">
        <v>89</v>
      </c>
      <c r="AJ34" s="37">
        <f t="shared" si="11"/>
        <v>0</v>
      </c>
      <c r="AK34" s="37">
        <f t="shared" si="12"/>
        <v>0</v>
      </c>
      <c r="AL34" s="37">
        <f t="shared" si="13"/>
        <v>0</v>
      </c>
      <c r="AN34" s="37">
        <v>21</v>
      </c>
      <c r="AO34" s="37">
        <f>G34*0.683571429</f>
        <v>0</v>
      </c>
      <c r="AP34" s="37">
        <f>G34*(1-0.683571429)</f>
        <v>0</v>
      </c>
      <c r="AQ34" s="68" t="s">
        <v>213</v>
      </c>
      <c r="AV34" s="37">
        <f t="shared" si="14"/>
        <v>0</v>
      </c>
      <c r="AW34" s="37">
        <f t="shared" si="15"/>
        <v>0</v>
      </c>
      <c r="AX34" s="37">
        <f t="shared" si="16"/>
        <v>0</v>
      </c>
      <c r="AY34" s="68" t="s">
        <v>257</v>
      </c>
      <c r="AZ34" s="68" t="s">
        <v>253</v>
      </c>
      <c r="BA34" s="49" t="s">
        <v>220</v>
      </c>
      <c r="BC34" s="37">
        <f t="shared" si="17"/>
        <v>0</v>
      </c>
      <c r="BD34" s="37">
        <f t="shared" si="18"/>
        <v>0</v>
      </c>
      <c r="BE34" s="37">
        <v>0</v>
      </c>
      <c r="BF34" s="37">
        <f>34</f>
        <v>34</v>
      </c>
      <c r="BH34" s="37">
        <f t="shared" si="19"/>
        <v>0</v>
      </c>
      <c r="BI34" s="37">
        <f t="shared" si="20"/>
        <v>0</v>
      </c>
      <c r="BJ34" s="37">
        <f t="shared" si="21"/>
        <v>0</v>
      </c>
      <c r="BK34" s="37"/>
      <c r="BL34" s="37">
        <v>27</v>
      </c>
      <c r="BW34" s="37">
        <v>21</v>
      </c>
      <c r="BX34" s="3" t="s">
        <v>271</v>
      </c>
    </row>
    <row r="35" spans="1:76" x14ac:dyDescent="0.25">
      <c r="A35" s="1" t="s">
        <v>95</v>
      </c>
      <c r="B35" s="2" t="s">
        <v>272</v>
      </c>
      <c r="C35" s="258" t="s">
        <v>273</v>
      </c>
      <c r="D35" s="259"/>
      <c r="E35" s="2" t="s">
        <v>251</v>
      </c>
      <c r="F35" s="37">
        <v>8.76</v>
      </c>
      <c r="G35" s="66">
        <v>0</v>
      </c>
      <c r="H35" s="37">
        <f t="shared" si="0"/>
        <v>0</v>
      </c>
      <c r="I35" s="37">
        <f t="shared" si="1"/>
        <v>0</v>
      </c>
      <c r="J35" s="37">
        <f t="shared" si="2"/>
        <v>0</v>
      </c>
      <c r="K35" s="67" t="s">
        <v>217</v>
      </c>
      <c r="Z35" s="37">
        <f t="shared" si="3"/>
        <v>0</v>
      </c>
      <c r="AB35" s="37">
        <f t="shared" si="4"/>
        <v>0</v>
      </c>
      <c r="AC35" s="37">
        <f t="shared" si="5"/>
        <v>0</v>
      </c>
      <c r="AD35" s="37">
        <f t="shared" si="6"/>
        <v>0</v>
      </c>
      <c r="AE35" s="37">
        <f t="shared" si="7"/>
        <v>0</v>
      </c>
      <c r="AF35" s="37">
        <f t="shared" si="8"/>
        <v>0</v>
      </c>
      <c r="AG35" s="37">
        <f t="shared" si="9"/>
        <v>0</v>
      </c>
      <c r="AH35" s="37">
        <f t="shared" si="10"/>
        <v>0</v>
      </c>
      <c r="AI35" s="49" t="s">
        <v>89</v>
      </c>
      <c r="AJ35" s="37">
        <f t="shared" si="11"/>
        <v>0</v>
      </c>
      <c r="AK35" s="37">
        <f t="shared" si="12"/>
        <v>0</v>
      </c>
      <c r="AL35" s="37">
        <f t="shared" si="13"/>
        <v>0</v>
      </c>
      <c r="AN35" s="37">
        <v>21</v>
      </c>
      <c r="AO35" s="37">
        <f>G35*0</f>
        <v>0</v>
      </c>
      <c r="AP35" s="37">
        <f>G35*(1-0)</f>
        <v>0</v>
      </c>
      <c r="AQ35" s="68" t="s">
        <v>213</v>
      </c>
      <c r="AV35" s="37">
        <f t="shared" si="14"/>
        <v>0</v>
      </c>
      <c r="AW35" s="37">
        <f t="shared" si="15"/>
        <v>0</v>
      </c>
      <c r="AX35" s="37">
        <f t="shared" si="16"/>
        <v>0</v>
      </c>
      <c r="AY35" s="68" t="s">
        <v>257</v>
      </c>
      <c r="AZ35" s="68" t="s">
        <v>253</v>
      </c>
      <c r="BA35" s="49" t="s">
        <v>220</v>
      </c>
      <c r="BC35" s="37">
        <f t="shared" si="17"/>
        <v>0</v>
      </c>
      <c r="BD35" s="37">
        <f t="shared" si="18"/>
        <v>0</v>
      </c>
      <c r="BE35" s="37">
        <v>0</v>
      </c>
      <c r="BF35" s="37">
        <f>35</f>
        <v>35</v>
      </c>
      <c r="BH35" s="37">
        <f t="shared" si="19"/>
        <v>0</v>
      </c>
      <c r="BI35" s="37">
        <f t="shared" si="20"/>
        <v>0</v>
      </c>
      <c r="BJ35" s="37">
        <f t="shared" si="21"/>
        <v>0</v>
      </c>
      <c r="BK35" s="37"/>
      <c r="BL35" s="37">
        <v>27</v>
      </c>
      <c r="BW35" s="37">
        <v>21</v>
      </c>
      <c r="BX35" s="3" t="s">
        <v>273</v>
      </c>
    </row>
    <row r="36" spans="1:76" x14ac:dyDescent="0.25">
      <c r="A36" s="1" t="s">
        <v>274</v>
      </c>
      <c r="B36" s="2" t="s">
        <v>275</v>
      </c>
      <c r="C36" s="258" t="s">
        <v>276</v>
      </c>
      <c r="D36" s="259"/>
      <c r="E36" s="2" t="s">
        <v>266</v>
      </c>
      <c r="F36" s="37">
        <v>3.492E-2</v>
      </c>
      <c r="G36" s="66">
        <v>0</v>
      </c>
      <c r="H36" s="37">
        <f t="shared" si="0"/>
        <v>0</v>
      </c>
      <c r="I36" s="37">
        <f t="shared" si="1"/>
        <v>0</v>
      </c>
      <c r="J36" s="37">
        <f t="shared" si="2"/>
        <v>0</v>
      </c>
      <c r="K36" s="67" t="s">
        <v>217</v>
      </c>
      <c r="Z36" s="37">
        <f t="shared" si="3"/>
        <v>0</v>
      </c>
      <c r="AB36" s="37">
        <f t="shared" si="4"/>
        <v>0</v>
      </c>
      <c r="AC36" s="37">
        <f t="shared" si="5"/>
        <v>0</v>
      </c>
      <c r="AD36" s="37">
        <f t="shared" si="6"/>
        <v>0</v>
      </c>
      <c r="AE36" s="37">
        <f t="shared" si="7"/>
        <v>0</v>
      </c>
      <c r="AF36" s="37">
        <f t="shared" si="8"/>
        <v>0</v>
      </c>
      <c r="AG36" s="37">
        <f t="shared" si="9"/>
        <v>0</v>
      </c>
      <c r="AH36" s="37">
        <f t="shared" si="10"/>
        <v>0</v>
      </c>
      <c r="AI36" s="49" t="s">
        <v>89</v>
      </c>
      <c r="AJ36" s="37">
        <f t="shared" si="11"/>
        <v>0</v>
      </c>
      <c r="AK36" s="37">
        <f t="shared" si="12"/>
        <v>0</v>
      </c>
      <c r="AL36" s="37">
        <f t="shared" si="13"/>
        <v>0</v>
      </c>
      <c r="AN36" s="37">
        <v>21</v>
      </c>
      <c r="AO36" s="37">
        <f>G36*0.600919706</f>
        <v>0</v>
      </c>
      <c r="AP36" s="37">
        <f>G36*(1-0.600919706)</f>
        <v>0</v>
      </c>
      <c r="AQ36" s="68" t="s">
        <v>213</v>
      </c>
      <c r="AV36" s="37">
        <f t="shared" si="14"/>
        <v>0</v>
      </c>
      <c r="AW36" s="37">
        <f t="shared" si="15"/>
        <v>0</v>
      </c>
      <c r="AX36" s="37">
        <f t="shared" si="16"/>
        <v>0</v>
      </c>
      <c r="AY36" s="68" t="s">
        <v>257</v>
      </c>
      <c r="AZ36" s="68" t="s">
        <v>253</v>
      </c>
      <c r="BA36" s="49" t="s">
        <v>220</v>
      </c>
      <c r="BC36" s="37">
        <f t="shared" si="17"/>
        <v>0</v>
      </c>
      <c r="BD36" s="37">
        <f t="shared" si="18"/>
        <v>0</v>
      </c>
      <c r="BE36" s="37">
        <v>0</v>
      </c>
      <c r="BF36" s="37">
        <f>36</f>
        <v>36</v>
      </c>
      <c r="BH36" s="37">
        <f t="shared" si="19"/>
        <v>0</v>
      </c>
      <c r="BI36" s="37">
        <f t="shared" si="20"/>
        <v>0</v>
      </c>
      <c r="BJ36" s="37">
        <f t="shared" si="21"/>
        <v>0</v>
      </c>
      <c r="BK36" s="37"/>
      <c r="BL36" s="37">
        <v>27</v>
      </c>
      <c r="BW36" s="37">
        <v>21</v>
      </c>
      <c r="BX36" s="3" t="s">
        <v>276</v>
      </c>
    </row>
    <row r="37" spans="1:76" x14ac:dyDescent="0.25">
      <c r="A37" s="1" t="s">
        <v>97</v>
      </c>
      <c r="B37" s="2" t="s">
        <v>277</v>
      </c>
      <c r="C37" s="258" t="s">
        <v>278</v>
      </c>
      <c r="D37" s="259"/>
      <c r="E37" s="2" t="s">
        <v>266</v>
      </c>
      <c r="F37" s="37">
        <v>6.4490000000000006E-2</v>
      </c>
      <c r="G37" s="66">
        <v>0</v>
      </c>
      <c r="H37" s="37">
        <f t="shared" si="0"/>
        <v>0</v>
      </c>
      <c r="I37" s="37">
        <f t="shared" si="1"/>
        <v>0</v>
      </c>
      <c r="J37" s="37">
        <f t="shared" si="2"/>
        <v>0</v>
      </c>
      <c r="K37" s="67" t="s">
        <v>217</v>
      </c>
      <c r="Z37" s="37">
        <f t="shared" si="3"/>
        <v>0</v>
      </c>
      <c r="AB37" s="37">
        <f t="shared" si="4"/>
        <v>0</v>
      </c>
      <c r="AC37" s="37">
        <f t="shared" si="5"/>
        <v>0</v>
      </c>
      <c r="AD37" s="37">
        <f t="shared" si="6"/>
        <v>0</v>
      </c>
      <c r="AE37" s="37">
        <f t="shared" si="7"/>
        <v>0</v>
      </c>
      <c r="AF37" s="37">
        <f t="shared" si="8"/>
        <v>0</v>
      </c>
      <c r="AG37" s="37">
        <f t="shared" si="9"/>
        <v>0</v>
      </c>
      <c r="AH37" s="37">
        <f t="shared" si="10"/>
        <v>0</v>
      </c>
      <c r="AI37" s="49" t="s">
        <v>89</v>
      </c>
      <c r="AJ37" s="37">
        <f t="shared" si="11"/>
        <v>0</v>
      </c>
      <c r="AK37" s="37">
        <f t="shared" si="12"/>
        <v>0</v>
      </c>
      <c r="AL37" s="37">
        <f t="shared" si="13"/>
        <v>0</v>
      </c>
      <c r="AN37" s="37">
        <v>21</v>
      </c>
      <c r="AO37" s="37">
        <f>G37*0.734367594</f>
        <v>0</v>
      </c>
      <c r="AP37" s="37">
        <f>G37*(1-0.734367594)</f>
        <v>0</v>
      </c>
      <c r="AQ37" s="68" t="s">
        <v>213</v>
      </c>
      <c r="AV37" s="37">
        <f t="shared" si="14"/>
        <v>0</v>
      </c>
      <c r="AW37" s="37">
        <f t="shared" si="15"/>
        <v>0</v>
      </c>
      <c r="AX37" s="37">
        <f t="shared" si="16"/>
        <v>0</v>
      </c>
      <c r="AY37" s="68" t="s">
        <v>257</v>
      </c>
      <c r="AZ37" s="68" t="s">
        <v>253</v>
      </c>
      <c r="BA37" s="49" t="s">
        <v>220</v>
      </c>
      <c r="BC37" s="37">
        <f t="shared" si="17"/>
        <v>0</v>
      </c>
      <c r="BD37" s="37">
        <f t="shared" si="18"/>
        <v>0</v>
      </c>
      <c r="BE37" s="37">
        <v>0</v>
      </c>
      <c r="BF37" s="37">
        <f>37</f>
        <v>37</v>
      </c>
      <c r="BH37" s="37">
        <f t="shared" si="19"/>
        <v>0</v>
      </c>
      <c r="BI37" s="37">
        <f t="shared" si="20"/>
        <v>0</v>
      </c>
      <c r="BJ37" s="37">
        <f t="shared" si="21"/>
        <v>0</v>
      </c>
      <c r="BK37" s="37"/>
      <c r="BL37" s="37">
        <v>27</v>
      </c>
      <c r="BW37" s="37">
        <v>21</v>
      </c>
      <c r="BX37" s="3" t="s">
        <v>278</v>
      </c>
    </row>
    <row r="38" spans="1:76" x14ac:dyDescent="0.25">
      <c r="A38" s="1" t="s">
        <v>279</v>
      </c>
      <c r="B38" s="2" t="s">
        <v>280</v>
      </c>
      <c r="C38" s="258" t="s">
        <v>281</v>
      </c>
      <c r="D38" s="259"/>
      <c r="E38" s="2" t="s">
        <v>216</v>
      </c>
      <c r="F38" s="37">
        <v>0.84719999999999995</v>
      </c>
      <c r="G38" s="66">
        <v>0</v>
      </c>
      <c r="H38" s="37">
        <f t="shared" si="0"/>
        <v>0</v>
      </c>
      <c r="I38" s="37">
        <f t="shared" si="1"/>
        <v>0</v>
      </c>
      <c r="J38" s="37">
        <f t="shared" si="2"/>
        <v>0</v>
      </c>
      <c r="K38" s="67" t="s">
        <v>217</v>
      </c>
      <c r="Z38" s="37">
        <f t="shared" si="3"/>
        <v>0</v>
      </c>
      <c r="AB38" s="37">
        <f t="shared" si="4"/>
        <v>0</v>
      </c>
      <c r="AC38" s="37">
        <f t="shared" si="5"/>
        <v>0</v>
      </c>
      <c r="AD38" s="37">
        <f t="shared" si="6"/>
        <v>0</v>
      </c>
      <c r="AE38" s="37">
        <f t="shared" si="7"/>
        <v>0</v>
      </c>
      <c r="AF38" s="37">
        <f t="shared" si="8"/>
        <v>0</v>
      </c>
      <c r="AG38" s="37">
        <f t="shared" si="9"/>
        <v>0</v>
      </c>
      <c r="AH38" s="37">
        <f t="shared" si="10"/>
        <v>0</v>
      </c>
      <c r="AI38" s="49" t="s">
        <v>89</v>
      </c>
      <c r="AJ38" s="37">
        <f t="shared" si="11"/>
        <v>0</v>
      </c>
      <c r="AK38" s="37">
        <f t="shared" si="12"/>
        <v>0</v>
      </c>
      <c r="AL38" s="37">
        <f t="shared" si="13"/>
        <v>0</v>
      </c>
      <c r="AN38" s="37">
        <v>21</v>
      </c>
      <c r="AO38" s="37">
        <f>G38*0.916232095</f>
        <v>0</v>
      </c>
      <c r="AP38" s="37">
        <f>G38*(1-0.916232095)</f>
        <v>0</v>
      </c>
      <c r="AQ38" s="68" t="s">
        <v>213</v>
      </c>
      <c r="AV38" s="37">
        <f t="shared" si="14"/>
        <v>0</v>
      </c>
      <c r="AW38" s="37">
        <f t="shared" si="15"/>
        <v>0</v>
      </c>
      <c r="AX38" s="37">
        <f t="shared" si="16"/>
        <v>0</v>
      </c>
      <c r="AY38" s="68" t="s">
        <v>257</v>
      </c>
      <c r="AZ38" s="68" t="s">
        <v>253</v>
      </c>
      <c r="BA38" s="49" t="s">
        <v>220</v>
      </c>
      <c r="BC38" s="37">
        <f t="shared" si="17"/>
        <v>0</v>
      </c>
      <c r="BD38" s="37">
        <f t="shared" si="18"/>
        <v>0</v>
      </c>
      <c r="BE38" s="37">
        <v>0</v>
      </c>
      <c r="BF38" s="37">
        <f>38</f>
        <v>38</v>
      </c>
      <c r="BH38" s="37">
        <f t="shared" si="19"/>
        <v>0</v>
      </c>
      <c r="BI38" s="37">
        <f t="shared" si="20"/>
        <v>0</v>
      </c>
      <c r="BJ38" s="37">
        <f t="shared" si="21"/>
        <v>0</v>
      </c>
      <c r="BK38" s="37"/>
      <c r="BL38" s="37">
        <v>27</v>
      </c>
      <c r="BW38" s="37">
        <v>21</v>
      </c>
      <c r="BX38" s="3" t="s">
        <v>281</v>
      </c>
    </row>
    <row r="39" spans="1:76" x14ac:dyDescent="0.25">
      <c r="A39" s="1" t="s">
        <v>99</v>
      </c>
      <c r="B39" s="2" t="s">
        <v>282</v>
      </c>
      <c r="C39" s="258" t="s">
        <v>283</v>
      </c>
      <c r="D39" s="259"/>
      <c r="E39" s="2" t="s">
        <v>251</v>
      </c>
      <c r="F39" s="37">
        <v>4.8879999999999999</v>
      </c>
      <c r="G39" s="66">
        <v>0</v>
      </c>
      <c r="H39" s="37">
        <f t="shared" si="0"/>
        <v>0</v>
      </c>
      <c r="I39" s="37">
        <f t="shared" si="1"/>
        <v>0</v>
      </c>
      <c r="J39" s="37">
        <f t="shared" si="2"/>
        <v>0</v>
      </c>
      <c r="K39" s="67" t="s">
        <v>217</v>
      </c>
      <c r="Z39" s="37">
        <f t="shared" si="3"/>
        <v>0</v>
      </c>
      <c r="AB39" s="37">
        <f t="shared" si="4"/>
        <v>0</v>
      </c>
      <c r="AC39" s="37">
        <f t="shared" si="5"/>
        <v>0</v>
      </c>
      <c r="AD39" s="37">
        <f t="shared" si="6"/>
        <v>0</v>
      </c>
      <c r="AE39" s="37">
        <f t="shared" si="7"/>
        <v>0</v>
      </c>
      <c r="AF39" s="37">
        <f t="shared" si="8"/>
        <v>0</v>
      </c>
      <c r="AG39" s="37">
        <f t="shared" si="9"/>
        <v>0</v>
      </c>
      <c r="AH39" s="37">
        <f t="shared" si="10"/>
        <v>0</v>
      </c>
      <c r="AI39" s="49" t="s">
        <v>89</v>
      </c>
      <c r="AJ39" s="37">
        <f t="shared" si="11"/>
        <v>0</v>
      </c>
      <c r="AK39" s="37">
        <f t="shared" si="12"/>
        <v>0</v>
      </c>
      <c r="AL39" s="37">
        <f t="shared" si="13"/>
        <v>0</v>
      </c>
      <c r="AN39" s="37">
        <v>21</v>
      </c>
      <c r="AO39" s="37">
        <f>G39*0.6843625</f>
        <v>0</v>
      </c>
      <c r="AP39" s="37">
        <f>G39*(1-0.6843625)</f>
        <v>0</v>
      </c>
      <c r="AQ39" s="68" t="s">
        <v>213</v>
      </c>
      <c r="AV39" s="37">
        <f t="shared" si="14"/>
        <v>0</v>
      </c>
      <c r="AW39" s="37">
        <f t="shared" si="15"/>
        <v>0</v>
      </c>
      <c r="AX39" s="37">
        <f t="shared" si="16"/>
        <v>0</v>
      </c>
      <c r="AY39" s="68" t="s">
        <v>257</v>
      </c>
      <c r="AZ39" s="68" t="s">
        <v>253</v>
      </c>
      <c r="BA39" s="49" t="s">
        <v>220</v>
      </c>
      <c r="BC39" s="37">
        <f t="shared" si="17"/>
        <v>0</v>
      </c>
      <c r="BD39" s="37">
        <f t="shared" si="18"/>
        <v>0</v>
      </c>
      <c r="BE39" s="37">
        <v>0</v>
      </c>
      <c r="BF39" s="37">
        <f>39</f>
        <v>39</v>
      </c>
      <c r="BH39" s="37">
        <f t="shared" si="19"/>
        <v>0</v>
      </c>
      <c r="BI39" s="37">
        <f t="shared" si="20"/>
        <v>0</v>
      </c>
      <c r="BJ39" s="37">
        <f t="shared" si="21"/>
        <v>0</v>
      </c>
      <c r="BK39" s="37"/>
      <c r="BL39" s="37">
        <v>27</v>
      </c>
      <c r="BW39" s="37">
        <v>21</v>
      </c>
      <c r="BX39" s="3" t="s">
        <v>283</v>
      </c>
    </row>
    <row r="40" spans="1:76" x14ac:dyDescent="0.25">
      <c r="A40" s="1" t="s">
        <v>284</v>
      </c>
      <c r="B40" s="2" t="s">
        <v>285</v>
      </c>
      <c r="C40" s="258" t="s">
        <v>286</v>
      </c>
      <c r="D40" s="259"/>
      <c r="E40" s="2" t="s">
        <v>251</v>
      </c>
      <c r="F40" s="37">
        <v>4.8879999999999999</v>
      </c>
      <c r="G40" s="66">
        <v>0</v>
      </c>
      <c r="H40" s="37">
        <f t="shared" si="0"/>
        <v>0</v>
      </c>
      <c r="I40" s="37">
        <f t="shared" si="1"/>
        <v>0</v>
      </c>
      <c r="J40" s="37">
        <f t="shared" si="2"/>
        <v>0</v>
      </c>
      <c r="K40" s="67" t="s">
        <v>217</v>
      </c>
      <c r="Z40" s="37">
        <f t="shared" si="3"/>
        <v>0</v>
      </c>
      <c r="AB40" s="37">
        <f t="shared" si="4"/>
        <v>0</v>
      </c>
      <c r="AC40" s="37">
        <f t="shared" si="5"/>
        <v>0</v>
      </c>
      <c r="AD40" s="37">
        <f t="shared" si="6"/>
        <v>0</v>
      </c>
      <c r="AE40" s="37">
        <f t="shared" si="7"/>
        <v>0</v>
      </c>
      <c r="AF40" s="37">
        <f t="shared" si="8"/>
        <v>0</v>
      </c>
      <c r="AG40" s="37">
        <f t="shared" si="9"/>
        <v>0</v>
      </c>
      <c r="AH40" s="37">
        <f t="shared" si="10"/>
        <v>0</v>
      </c>
      <c r="AI40" s="49" t="s">
        <v>89</v>
      </c>
      <c r="AJ40" s="37">
        <f t="shared" si="11"/>
        <v>0</v>
      </c>
      <c r="AK40" s="37">
        <f t="shared" si="12"/>
        <v>0</v>
      </c>
      <c r="AL40" s="37">
        <f t="shared" si="13"/>
        <v>0</v>
      </c>
      <c r="AN40" s="37">
        <v>21</v>
      </c>
      <c r="AO40" s="37">
        <f>G40*0</f>
        <v>0</v>
      </c>
      <c r="AP40" s="37">
        <f>G40*(1-0)</f>
        <v>0</v>
      </c>
      <c r="AQ40" s="68" t="s">
        <v>213</v>
      </c>
      <c r="AV40" s="37">
        <f t="shared" si="14"/>
        <v>0</v>
      </c>
      <c r="AW40" s="37">
        <f t="shared" si="15"/>
        <v>0</v>
      </c>
      <c r="AX40" s="37">
        <f t="shared" si="16"/>
        <v>0</v>
      </c>
      <c r="AY40" s="68" t="s">
        <v>257</v>
      </c>
      <c r="AZ40" s="68" t="s">
        <v>253</v>
      </c>
      <c r="BA40" s="49" t="s">
        <v>220</v>
      </c>
      <c r="BC40" s="37">
        <f t="shared" si="17"/>
        <v>0</v>
      </c>
      <c r="BD40" s="37">
        <f t="shared" si="18"/>
        <v>0</v>
      </c>
      <c r="BE40" s="37">
        <v>0</v>
      </c>
      <c r="BF40" s="37">
        <f>40</f>
        <v>40</v>
      </c>
      <c r="BH40" s="37">
        <f t="shared" si="19"/>
        <v>0</v>
      </c>
      <c r="BI40" s="37">
        <f t="shared" si="20"/>
        <v>0</v>
      </c>
      <c r="BJ40" s="37">
        <f t="shared" si="21"/>
        <v>0</v>
      </c>
      <c r="BK40" s="37"/>
      <c r="BL40" s="37">
        <v>27</v>
      </c>
      <c r="BW40" s="37">
        <v>21</v>
      </c>
      <c r="BX40" s="3" t="s">
        <v>286</v>
      </c>
    </row>
    <row r="41" spans="1:76" x14ac:dyDescent="0.25">
      <c r="A41" s="1" t="s">
        <v>287</v>
      </c>
      <c r="B41" s="2" t="s">
        <v>288</v>
      </c>
      <c r="C41" s="258" t="s">
        <v>289</v>
      </c>
      <c r="D41" s="259"/>
      <c r="E41" s="2" t="s">
        <v>216</v>
      </c>
      <c r="F41" s="37">
        <v>0.29899999999999999</v>
      </c>
      <c r="G41" s="66">
        <v>0</v>
      </c>
      <c r="H41" s="37">
        <f t="shared" si="0"/>
        <v>0</v>
      </c>
      <c r="I41" s="37">
        <f t="shared" si="1"/>
        <v>0</v>
      </c>
      <c r="J41" s="37">
        <f t="shared" si="2"/>
        <v>0</v>
      </c>
      <c r="K41" s="67" t="s">
        <v>217</v>
      </c>
      <c r="Z41" s="37">
        <f t="shared" si="3"/>
        <v>0</v>
      </c>
      <c r="AB41" s="37">
        <f t="shared" si="4"/>
        <v>0</v>
      </c>
      <c r="AC41" s="37">
        <f t="shared" si="5"/>
        <v>0</v>
      </c>
      <c r="AD41" s="37">
        <f t="shared" si="6"/>
        <v>0</v>
      </c>
      <c r="AE41" s="37">
        <f t="shared" si="7"/>
        <v>0</v>
      </c>
      <c r="AF41" s="37">
        <f t="shared" si="8"/>
        <v>0</v>
      </c>
      <c r="AG41" s="37">
        <f t="shared" si="9"/>
        <v>0</v>
      </c>
      <c r="AH41" s="37">
        <f t="shared" si="10"/>
        <v>0</v>
      </c>
      <c r="AI41" s="49" t="s">
        <v>89</v>
      </c>
      <c r="AJ41" s="37">
        <f t="shared" si="11"/>
        <v>0</v>
      </c>
      <c r="AK41" s="37">
        <f t="shared" si="12"/>
        <v>0</v>
      </c>
      <c r="AL41" s="37">
        <f t="shared" si="13"/>
        <v>0</v>
      </c>
      <c r="AN41" s="37">
        <v>21</v>
      </c>
      <c r="AO41" s="37">
        <f>G41*0.684927997</f>
        <v>0</v>
      </c>
      <c r="AP41" s="37">
        <f>G41*(1-0.684927997)</f>
        <v>0</v>
      </c>
      <c r="AQ41" s="68" t="s">
        <v>213</v>
      </c>
      <c r="AV41" s="37">
        <f t="shared" si="14"/>
        <v>0</v>
      </c>
      <c r="AW41" s="37">
        <f t="shared" si="15"/>
        <v>0</v>
      </c>
      <c r="AX41" s="37">
        <f t="shared" si="16"/>
        <v>0</v>
      </c>
      <c r="AY41" s="68" t="s">
        <v>257</v>
      </c>
      <c r="AZ41" s="68" t="s">
        <v>253</v>
      </c>
      <c r="BA41" s="49" t="s">
        <v>220</v>
      </c>
      <c r="BC41" s="37">
        <f t="shared" si="17"/>
        <v>0</v>
      </c>
      <c r="BD41" s="37">
        <f t="shared" si="18"/>
        <v>0</v>
      </c>
      <c r="BE41" s="37">
        <v>0</v>
      </c>
      <c r="BF41" s="37">
        <f>41</f>
        <v>41</v>
      </c>
      <c r="BH41" s="37">
        <f t="shared" si="19"/>
        <v>0</v>
      </c>
      <c r="BI41" s="37">
        <f t="shared" si="20"/>
        <v>0</v>
      </c>
      <c r="BJ41" s="37">
        <f t="shared" si="21"/>
        <v>0</v>
      </c>
      <c r="BK41" s="37"/>
      <c r="BL41" s="37">
        <v>27</v>
      </c>
      <c r="BW41" s="37">
        <v>21</v>
      </c>
      <c r="BX41" s="3" t="s">
        <v>289</v>
      </c>
    </row>
    <row r="42" spans="1:76" x14ac:dyDescent="0.25">
      <c r="A42" s="61" t="s">
        <v>4</v>
      </c>
      <c r="B42" s="62" t="s">
        <v>103</v>
      </c>
      <c r="C42" s="343" t="s">
        <v>104</v>
      </c>
      <c r="D42" s="344"/>
      <c r="E42" s="63" t="s">
        <v>81</v>
      </c>
      <c r="F42" s="63" t="s">
        <v>81</v>
      </c>
      <c r="G42" s="64" t="s">
        <v>81</v>
      </c>
      <c r="H42" s="43">
        <f>SUM(H43:H43)</f>
        <v>0</v>
      </c>
      <c r="I42" s="43">
        <f>SUM(I43:I43)</f>
        <v>0</v>
      </c>
      <c r="J42" s="43">
        <f>SUM(J43:J43)</f>
        <v>0</v>
      </c>
      <c r="K42" s="65" t="s">
        <v>4</v>
      </c>
      <c r="AI42" s="49" t="s">
        <v>89</v>
      </c>
      <c r="AS42" s="43">
        <f>SUM(AJ43:AJ43)</f>
        <v>0</v>
      </c>
      <c r="AT42" s="43">
        <f>SUM(AK43:AK43)</f>
        <v>0</v>
      </c>
      <c r="AU42" s="43">
        <f>SUM(AL43:AL43)</f>
        <v>0</v>
      </c>
    </row>
    <row r="43" spans="1:76" x14ac:dyDescent="0.25">
      <c r="A43" s="1" t="s">
        <v>290</v>
      </c>
      <c r="B43" s="2" t="s">
        <v>291</v>
      </c>
      <c r="C43" s="258" t="s">
        <v>292</v>
      </c>
      <c r="D43" s="259"/>
      <c r="E43" s="2" t="s">
        <v>251</v>
      </c>
      <c r="F43" s="37">
        <v>35.770000000000003</v>
      </c>
      <c r="G43" s="66">
        <v>0</v>
      </c>
      <c r="H43" s="37">
        <f>F43*AO43</f>
        <v>0</v>
      </c>
      <c r="I43" s="37">
        <f>F43*AP43</f>
        <v>0</v>
      </c>
      <c r="J43" s="37">
        <f>F43*G43</f>
        <v>0</v>
      </c>
      <c r="K43" s="67" t="s">
        <v>217</v>
      </c>
      <c r="Z43" s="37">
        <f>IF(AQ43="5",BJ43,0)</f>
        <v>0</v>
      </c>
      <c r="AB43" s="37">
        <f>IF(AQ43="1",BH43,0)</f>
        <v>0</v>
      </c>
      <c r="AC43" s="37">
        <f>IF(AQ43="1",BI43,0)</f>
        <v>0</v>
      </c>
      <c r="AD43" s="37">
        <f>IF(AQ43="7",BH43,0)</f>
        <v>0</v>
      </c>
      <c r="AE43" s="37">
        <f>IF(AQ43="7",BI43,0)</f>
        <v>0</v>
      </c>
      <c r="AF43" s="37">
        <f>IF(AQ43="2",BH43,0)</f>
        <v>0</v>
      </c>
      <c r="AG43" s="37">
        <f>IF(AQ43="2",BI43,0)</f>
        <v>0</v>
      </c>
      <c r="AH43" s="37">
        <f>IF(AQ43="0",BJ43,0)</f>
        <v>0</v>
      </c>
      <c r="AI43" s="49" t="s">
        <v>89</v>
      </c>
      <c r="AJ43" s="37">
        <f>IF(AN43=0,J43,0)</f>
        <v>0</v>
      </c>
      <c r="AK43" s="37">
        <f>IF(AN43=12,J43,0)</f>
        <v>0</v>
      </c>
      <c r="AL43" s="37">
        <f>IF(AN43=21,J43,0)</f>
        <v>0</v>
      </c>
      <c r="AN43" s="37">
        <v>21</v>
      </c>
      <c r="AO43" s="37">
        <f>G43*0.281098613</f>
        <v>0</v>
      </c>
      <c r="AP43" s="37">
        <f>G43*(1-0.281098613)</f>
        <v>0</v>
      </c>
      <c r="AQ43" s="68" t="s">
        <v>213</v>
      </c>
      <c r="AV43" s="37">
        <f>AW43+AX43</f>
        <v>0</v>
      </c>
      <c r="AW43" s="37">
        <f>F43*AO43</f>
        <v>0</v>
      </c>
      <c r="AX43" s="37">
        <f>F43*AP43</f>
        <v>0</v>
      </c>
      <c r="AY43" s="68" t="s">
        <v>293</v>
      </c>
      <c r="AZ43" s="68" t="s">
        <v>253</v>
      </c>
      <c r="BA43" s="49" t="s">
        <v>220</v>
      </c>
      <c r="BC43" s="37">
        <f>AW43+AX43</f>
        <v>0</v>
      </c>
      <c r="BD43" s="37">
        <f>G43/(100-BE43)*100</f>
        <v>0</v>
      </c>
      <c r="BE43" s="37">
        <v>0</v>
      </c>
      <c r="BF43" s="37">
        <f>43</f>
        <v>43</v>
      </c>
      <c r="BH43" s="37">
        <f>F43*AO43</f>
        <v>0</v>
      </c>
      <c r="BI43" s="37">
        <f>F43*AP43</f>
        <v>0</v>
      </c>
      <c r="BJ43" s="37">
        <f>F43*G43</f>
        <v>0</v>
      </c>
      <c r="BK43" s="37"/>
      <c r="BL43" s="37">
        <v>28</v>
      </c>
      <c r="BW43" s="37">
        <v>21</v>
      </c>
      <c r="BX43" s="3" t="s">
        <v>292</v>
      </c>
    </row>
    <row r="44" spans="1:76" x14ac:dyDescent="0.25">
      <c r="A44" s="61" t="s">
        <v>4</v>
      </c>
      <c r="B44" s="62" t="s">
        <v>105</v>
      </c>
      <c r="C44" s="343" t="s">
        <v>106</v>
      </c>
      <c r="D44" s="344"/>
      <c r="E44" s="63" t="s">
        <v>81</v>
      </c>
      <c r="F44" s="63" t="s">
        <v>81</v>
      </c>
      <c r="G44" s="64" t="s">
        <v>81</v>
      </c>
      <c r="H44" s="43">
        <f>SUM(H45:H55)</f>
        <v>0</v>
      </c>
      <c r="I44" s="43">
        <f>SUM(I45:I55)</f>
        <v>0</v>
      </c>
      <c r="J44" s="43">
        <f>SUM(J45:J55)</f>
        <v>0</v>
      </c>
      <c r="K44" s="65" t="s">
        <v>4</v>
      </c>
      <c r="AI44" s="49" t="s">
        <v>89</v>
      </c>
      <c r="AS44" s="43">
        <f>SUM(AJ45:AJ55)</f>
        <v>0</v>
      </c>
      <c r="AT44" s="43">
        <f>SUM(AK45:AK55)</f>
        <v>0</v>
      </c>
      <c r="AU44" s="43">
        <f>SUM(AL45:AL55)</f>
        <v>0</v>
      </c>
    </row>
    <row r="45" spans="1:76" x14ac:dyDescent="0.25">
      <c r="A45" s="1" t="s">
        <v>294</v>
      </c>
      <c r="B45" s="2" t="s">
        <v>295</v>
      </c>
      <c r="C45" s="258" t="s">
        <v>296</v>
      </c>
      <c r="D45" s="259"/>
      <c r="E45" s="2" t="s">
        <v>266</v>
      </c>
      <c r="F45" s="37">
        <v>0.14376</v>
      </c>
      <c r="G45" s="66">
        <v>0</v>
      </c>
      <c r="H45" s="37">
        <f t="shared" ref="H45:H55" si="22">F45*AO45</f>
        <v>0</v>
      </c>
      <c r="I45" s="37">
        <f t="shared" ref="I45:I55" si="23">F45*AP45</f>
        <v>0</v>
      </c>
      <c r="J45" s="37">
        <f t="shared" ref="J45:J55" si="24">F45*G45</f>
        <v>0</v>
      </c>
      <c r="K45" s="67" t="s">
        <v>217</v>
      </c>
      <c r="Z45" s="37">
        <f t="shared" ref="Z45:Z55" si="25">IF(AQ45="5",BJ45,0)</f>
        <v>0</v>
      </c>
      <c r="AB45" s="37">
        <f t="shared" ref="AB45:AB55" si="26">IF(AQ45="1",BH45,0)</f>
        <v>0</v>
      </c>
      <c r="AC45" s="37">
        <f t="shared" ref="AC45:AC55" si="27">IF(AQ45="1",BI45,0)</f>
        <v>0</v>
      </c>
      <c r="AD45" s="37">
        <f t="shared" ref="AD45:AD55" si="28">IF(AQ45="7",BH45,0)</f>
        <v>0</v>
      </c>
      <c r="AE45" s="37">
        <f t="shared" ref="AE45:AE55" si="29">IF(AQ45="7",BI45,0)</f>
        <v>0</v>
      </c>
      <c r="AF45" s="37">
        <f t="shared" ref="AF45:AF55" si="30">IF(AQ45="2",BH45,0)</f>
        <v>0</v>
      </c>
      <c r="AG45" s="37">
        <f t="shared" ref="AG45:AG55" si="31">IF(AQ45="2",BI45,0)</f>
        <v>0</v>
      </c>
      <c r="AH45" s="37">
        <f t="shared" ref="AH45:AH55" si="32">IF(AQ45="0",BJ45,0)</f>
        <v>0</v>
      </c>
      <c r="AI45" s="49" t="s">
        <v>89</v>
      </c>
      <c r="AJ45" s="37">
        <f t="shared" ref="AJ45:AJ55" si="33">IF(AN45=0,J45,0)</f>
        <v>0</v>
      </c>
      <c r="AK45" s="37">
        <f t="shared" ref="AK45:AK55" si="34">IF(AN45=12,J45,0)</f>
        <v>0</v>
      </c>
      <c r="AL45" s="37">
        <f t="shared" ref="AL45:AL55" si="35">IF(AN45=21,J45,0)</f>
        <v>0</v>
      </c>
      <c r="AN45" s="37">
        <v>21</v>
      </c>
      <c r="AO45" s="37">
        <f>G45*0.001831397</f>
        <v>0</v>
      </c>
      <c r="AP45" s="37">
        <f>G45*(1-0.001831397)</f>
        <v>0</v>
      </c>
      <c r="AQ45" s="68" t="s">
        <v>213</v>
      </c>
      <c r="AV45" s="37">
        <f t="shared" ref="AV45:AV55" si="36">AW45+AX45</f>
        <v>0</v>
      </c>
      <c r="AW45" s="37">
        <f t="shared" ref="AW45:AW55" si="37">F45*AO45</f>
        <v>0</v>
      </c>
      <c r="AX45" s="37">
        <f t="shared" ref="AX45:AX55" si="38">F45*AP45</f>
        <v>0</v>
      </c>
      <c r="AY45" s="68" t="s">
        <v>297</v>
      </c>
      <c r="AZ45" s="68" t="s">
        <v>298</v>
      </c>
      <c r="BA45" s="49" t="s">
        <v>220</v>
      </c>
      <c r="BC45" s="37">
        <f t="shared" ref="BC45:BC55" si="39">AW45+AX45</f>
        <v>0</v>
      </c>
      <c r="BD45" s="37">
        <f t="shared" ref="BD45:BD55" si="40">G45/(100-BE45)*100</f>
        <v>0</v>
      </c>
      <c r="BE45" s="37">
        <v>0</v>
      </c>
      <c r="BF45" s="37">
        <f>45</f>
        <v>45</v>
      </c>
      <c r="BH45" s="37">
        <f t="shared" ref="BH45:BH55" si="41">F45*AO45</f>
        <v>0</v>
      </c>
      <c r="BI45" s="37">
        <f t="shared" ref="BI45:BI55" si="42">F45*AP45</f>
        <v>0</v>
      </c>
      <c r="BJ45" s="37">
        <f t="shared" ref="BJ45:BJ55" si="43">F45*G45</f>
        <v>0</v>
      </c>
      <c r="BK45" s="37"/>
      <c r="BL45" s="37">
        <v>31</v>
      </c>
      <c r="BW45" s="37">
        <v>21</v>
      </c>
      <c r="BX45" s="3" t="s">
        <v>296</v>
      </c>
    </row>
    <row r="46" spans="1:76" x14ac:dyDescent="0.25">
      <c r="A46" s="1" t="s">
        <v>299</v>
      </c>
      <c r="B46" s="2" t="s">
        <v>300</v>
      </c>
      <c r="C46" s="258" t="s">
        <v>301</v>
      </c>
      <c r="D46" s="259"/>
      <c r="E46" s="2" t="s">
        <v>266</v>
      </c>
      <c r="F46" s="37">
        <v>6.4019999999999994E-2</v>
      </c>
      <c r="G46" s="66">
        <v>0</v>
      </c>
      <c r="H46" s="37">
        <f t="shared" si="22"/>
        <v>0</v>
      </c>
      <c r="I46" s="37">
        <f t="shared" si="23"/>
        <v>0</v>
      </c>
      <c r="J46" s="37">
        <f t="shared" si="24"/>
        <v>0</v>
      </c>
      <c r="K46" s="67" t="s">
        <v>217</v>
      </c>
      <c r="Z46" s="37">
        <f t="shared" si="25"/>
        <v>0</v>
      </c>
      <c r="AB46" s="37">
        <f t="shared" si="26"/>
        <v>0</v>
      </c>
      <c r="AC46" s="37">
        <f t="shared" si="27"/>
        <v>0</v>
      </c>
      <c r="AD46" s="37">
        <f t="shared" si="28"/>
        <v>0</v>
      </c>
      <c r="AE46" s="37">
        <f t="shared" si="29"/>
        <v>0</v>
      </c>
      <c r="AF46" s="37">
        <f t="shared" si="30"/>
        <v>0</v>
      </c>
      <c r="AG46" s="37">
        <f t="shared" si="31"/>
        <v>0</v>
      </c>
      <c r="AH46" s="37">
        <f t="shared" si="32"/>
        <v>0</v>
      </c>
      <c r="AI46" s="49" t="s">
        <v>89</v>
      </c>
      <c r="AJ46" s="37">
        <f t="shared" si="33"/>
        <v>0</v>
      </c>
      <c r="AK46" s="37">
        <f t="shared" si="34"/>
        <v>0</v>
      </c>
      <c r="AL46" s="37">
        <f t="shared" si="35"/>
        <v>0</v>
      </c>
      <c r="AN46" s="37">
        <v>21</v>
      </c>
      <c r="AO46" s="37">
        <f>G46*1</f>
        <v>0</v>
      </c>
      <c r="AP46" s="37">
        <f>G46*(1-1)</f>
        <v>0</v>
      </c>
      <c r="AQ46" s="68" t="s">
        <v>213</v>
      </c>
      <c r="AV46" s="37">
        <f t="shared" si="36"/>
        <v>0</v>
      </c>
      <c r="AW46" s="37">
        <f t="shared" si="37"/>
        <v>0</v>
      </c>
      <c r="AX46" s="37">
        <f t="shared" si="38"/>
        <v>0</v>
      </c>
      <c r="AY46" s="68" t="s">
        <v>297</v>
      </c>
      <c r="AZ46" s="68" t="s">
        <v>298</v>
      </c>
      <c r="BA46" s="49" t="s">
        <v>220</v>
      </c>
      <c r="BC46" s="37">
        <f t="shared" si="39"/>
        <v>0</v>
      </c>
      <c r="BD46" s="37">
        <f t="shared" si="40"/>
        <v>0</v>
      </c>
      <c r="BE46" s="37">
        <v>0</v>
      </c>
      <c r="BF46" s="37">
        <f>46</f>
        <v>46</v>
      </c>
      <c r="BH46" s="37">
        <f t="shared" si="41"/>
        <v>0</v>
      </c>
      <c r="BI46" s="37">
        <f t="shared" si="42"/>
        <v>0</v>
      </c>
      <c r="BJ46" s="37">
        <f t="shared" si="43"/>
        <v>0</v>
      </c>
      <c r="BK46" s="37"/>
      <c r="BL46" s="37">
        <v>31</v>
      </c>
      <c r="BW46" s="37">
        <v>21</v>
      </c>
      <c r="BX46" s="3" t="s">
        <v>301</v>
      </c>
    </row>
    <row r="47" spans="1:76" x14ac:dyDescent="0.25">
      <c r="A47" s="1" t="s">
        <v>101</v>
      </c>
      <c r="B47" s="2" t="s">
        <v>302</v>
      </c>
      <c r="C47" s="258" t="s">
        <v>303</v>
      </c>
      <c r="D47" s="259"/>
      <c r="E47" s="2" t="s">
        <v>266</v>
      </c>
      <c r="F47" s="37">
        <v>4.199E-2</v>
      </c>
      <c r="G47" s="66">
        <v>0</v>
      </c>
      <c r="H47" s="37">
        <f t="shared" si="22"/>
        <v>0</v>
      </c>
      <c r="I47" s="37">
        <f t="shared" si="23"/>
        <v>0</v>
      </c>
      <c r="J47" s="37">
        <f t="shared" si="24"/>
        <v>0</v>
      </c>
      <c r="K47" s="67" t="s">
        <v>217</v>
      </c>
      <c r="Z47" s="37">
        <f t="shared" si="25"/>
        <v>0</v>
      </c>
      <c r="AB47" s="37">
        <f t="shared" si="26"/>
        <v>0</v>
      </c>
      <c r="AC47" s="37">
        <f t="shared" si="27"/>
        <v>0</v>
      </c>
      <c r="AD47" s="37">
        <f t="shared" si="28"/>
        <v>0</v>
      </c>
      <c r="AE47" s="37">
        <f t="shared" si="29"/>
        <v>0</v>
      </c>
      <c r="AF47" s="37">
        <f t="shared" si="30"/>
        <v>0</v>
      </c>
      <c r="AG47" s="37">
        <f t="shared" si="31"/>
        <v>0</v>
      </c>
      <c r="AH47" s="37">
        <f t="shared" si="32"/>
        <v>0</v>
      </c>
      <c r="AI47" s="49" t="s">
        <v>89</v>
      </c>
      <c r="AJ47" s="37">
        <f t="shared" si="33"/>
        <v>0</v>
      </c>
      <c r="AK47" s="37">
        <f t="shared" si="34"/>
        <v>0</v>
      </c>
      <c r="AL47" s="37">
        <f t="shared" si="35"/>
        <v>0</v>
      </c>
      <c r="AN47" s="37">
        <v>21</v>
      </c>
      <c r="AO47" s="37">
        <f>G47*1</f>
        <v>0</v>
      </c>
      <c r="AP47" s="37">
        <f>G47*(1-1)</f>
        <v>0</v>
      </c>
      <c r="AQ47" s="68" t="s">
        <v>213</v>
      </c>
      <c r="AV47" s="37">
        <f t="shared" si="36"/>
        <v>0</v>
      </c>
      <c r="AW47" s="37">
        <f t="shared" si="37"/>
        <v>0</v>
      </c>
      <c r="AX47" s="37">
        <f t="shared" si="38"/>
        <v>0</v>
      </c>
      <c r="AY47" s="68" t="s">
        <v>297</v>
      </c>
      <c r="AZ47" s="68" t="s">
        <v>298</v>
      </c>
      <c r="BA47" s="49" t="s">
        <v>220</v>
      </c>
      <c r="BC47" s="37">
        <f t="shared" si="39"/>
        <v>0</v>
      </c>
      <c r="BD47" s="37">
        <f t="shared" si="40"/>
        <v>0</v>
      </c>
      <c r="BE47" s="37">
        <v>0</v>
      </c>
      <c r="BF47" s="37">
        <f>47</f>
        <v>47</v>
      </c>
      <c r="BH47" s="37">
        <f t="shared" si="41"/>
        <v>0</v>
      </c>
      <c r="BI47" s="37">
        <f t="shared" si="42"/>
        <v>0</v>
      </c>
      <c r="BJ47" s="37">
        <f t="shared" si="43"/>
        <v>0</v>
      </c>
      <c r="BK47" s="37"/>
      <c r="BL47" s="37">
        <v>31</v>
      </c>
      <c r="BW47" s="37">
        <v>21</v>
      </c>
      <c r="BX47" s="3" t="s">
        <v>303</v>
      </c>
    </row>
    <row r="48" spans="1:76" x14ac:dyDescent="0.25">
      <c r="A48" s="1" t="s">
        <v>103</v>
      </c>
      <c r="B48" s="2" t="s">
        <v>304</v>
      </c>
      <c r="C48" s="258" t="s">
        <v>305</v>
      </c>
      <c r="D48" s="259"/>
      <c r="E48" s="2" t="s">
        <v>266</v>
      </c>
      <c r="F48" s="37">
        <v>4.9250000000000002E-2</v>
      </c>
      <c r="G48" s="66">
        <v>0</v>
      </c>
      <c r="H48" s="37">
        <f t="shared" si="22"/>
        <v>0</v>
      </c>
      <c r="I48" s="37">
        <f t="shared" si="23"/>
        <v>0</v>
      </c>
      <c r="J48" s="37">
        <f t="shared" si="24"/>
        <v>0</v>
      </c>
      <c r="K48" s="67" t="s">
        <v>217</v>
      </c>
      <c r="Z48" s="37">
        <f t="shared" si="25"/>
        <v>0</v>
      </c>
      <c r="AB48" s="37">
        <f t="shared" si="26"/>
        <v>0</v>
      </c>
      <c r="AC48" s="37">
        <f t="shared" si="27"/>
        <v>0</v>
      </c>
      <c r="AD48" s="37">
        <f t="shared" si="28"/>
        <v>0</v>
      </c>
      <c r="AE48" s="37">
        <f t="shared" si="29"/>
        <v>0</v>
      </c>
      <c r="AF48" s="37">
        <f t="shared" si="30"/>
        <v>0</v>
      </c>
      <c r="AG48" s="37">
        <f t="shared" si="31"/>
        <v>0</v>
      </c>
      <c r="AH48" s="37">
        <f t="shared" si="32"/>
        <v>0</v>
      </c>
      <c r="AI48" s="49" t="s">
        <v>89</v>
      </c>
      <c r="AJ48" s="37">
        <f t="shared" si="33"/>
        <v>0</v>
      </c>
      <c r="AK48" s="37">
        <f t="shared" si="34"/>
        <v>0</v>
      </c>
      <c r="AL48" s="37">
        <f t="shared" si="35"/>
        <v>0</v>
      </c>
      <c r="AN48" s="37">
        <v>21</v>
      </c>
      <c r="AO48" s="37">
        <f>G48*1</f>
        <v>0</v>
      </c>
      <c r="AP48" s="37">
        <f>G48*(1-1)</f>
        <v>0</v>
      </c>
      <c r="AQ48" s="68" t="s">
        <v>213</v>
      </c>
      <c r="AV48" s="37">
        <f t="shared" si="36"/>
        <v>0</v>
      </c>
      <c r="AW48" s="37">
        <f t="shared" si="37"/>
        <v>0</v>
      </c>
      <c r="AX48" s="37">
        <f t="shared" si="38"/>
        <v>0</v>
      </c>
      <c r="AY48" s="68" t="s">
        <v>297</v>
      </c>
      <c r="AZ48" s="68" t="s">
        <v>298</v>
      </c>
      <c r="BA48" s="49" t="s">
        <v>220</v>
      </c>
      <c r="BC48" s="37">
        <f t="shared" si="39"/>
        <v>0</v>
      </c>
      <c r="BD48" s="37">
        <f t="shared" si="40"/>
        <v>0</v>
      </c>
      <c r="BE48" s="37">
        <v>0</v>
      </c>
      <c r="BF48" s="37">
        <f>48</f>
        <v>48</v>
      </c>
      <c r="BH48" s="37">
        <f t="shared" si="41"/>
        <v>0</v>
      </c>
      <c r="BI48" s="37">
        <f t="shared" si="42"/>
        <v>0</v>
      </c>
      <c r="BJ48" s="37">
        <f t="shared" si="43"/>
        <v>0</v>
      </c>
      <c r="BK48" s="37"/>
      <c r="BL48" s="37">
        <v>31</v>
      </c>
      <c r="BW48" s="37">
        <v>21</v>
      </c>
      <c r="BX48" s="3" t="s">
        <v>305</v>
      </c>
    </row>
    <row r="49" spans="1:76" x14ac:dyDescent="0.25">
      <c r="A49" s="1" t="s">
        <v>306</v>
      </c>
      <c r="B49" s="2" t="s">
        <v>307</v>
      </c>
      <c r="C49" s="258" t="s">
        <v>308</v>
      </c>
      <c r="D49" s="259"/>
      <c r="E49" s="2" t="s">
        <v>309</v>
      </c>
      <c r="F49" s="37">
        <v>7</v>
      </c>
      <c r="G49" s="66">
        <v>0</v>
      </c>
      <c r="H49" s="37">
        <f t="shared" si="22"/>
        <v>0</v>
      </c>
      <c r="I49" s="37">
        <f t="shared" si="23"/>
        <v>0</v>
      </c>
      <c r="J49" s="37">
        <f t="shared" si="24"/>
        <v>0</v>
      </c>
      <c r="K49" s="67" t="s">
        <v>217</v>
      </c>
      <c r="Z49" s="37">
        <f t="shared" si="25"/>
        <v>0</v>
      </c>
      <c r="AB49" s="37">
        <f t="shared" si="26"/>
        <v>0</v>
      </c>
      <c r="AC49" s="37">
        <f t="shared" si="27"/>
        <v>0</v>
      </c>
      <c r="AD49" s="37">
        <f t="shared" si="28"/>
        <v>0</v>
      </c>
      <c r="AE49" s="37">
        <f t="shared" si="29"/>
        <v>0</v>
      </c>
      <c r="AF49" s="37">
        <f t="shared" si="30"/>
        <v>0</v>
      </c>
      <c r="AG49" s="37">
        <f t="shared" si="31"/>
        <v>0</v>
      </c>
      <c r="AH49" s="37">
        <f t="shared" si="32"/>
        <v>0</v>
      </c>
      <c r="AI49" s="49" t="s">
        <v>89</v>
      </c>
      <c r="AJ49" s="37">
        <f t="shared" si="33"/>
        <v>0</v>
      </c>
      <c r="AK49" s="37">
        <f t="shared" si="34"/>
        <v>0</v>
      </c>
      <c r="AL49" s="37">
        <f t="shared" si="35"/>
        <v>0</v>
      </c>
      <c r="AN49" s="37">
        <v>21</v>
      </c>
      <c r="AO49" s="37">
        <f>G49*0.829724279</f>
        <v>0</v>
      </c>
      <c r="AP49" s="37">
        <f>G49*(1-0.829724279)</f>
        <v>0</v>
      </c>
      <c r="AQ49" s="68" t="s">
        <v>213</v>
      </c>
      <c r="AV49" s="37">
        <f t="shared" si="36"/>
        <v>0</v>
      </c>
      <c r="AW49" s="37">
        <f t="shared" si="37"/>
        <v>0</v>
      </c>
      <c r="AX49" s="37">
        <f t="shared" si="38"/>
        <v>0</v>
      </c>
      <c r="AY49" s="68" t="s">
        <v>297</v>
      </c>
      <c r="AZ49" s="68" t="s">
        <v>298</v>
      </c>
      <c r="BA49" s="49" t="s">
        <v>220</v>
      </c>
      <c r="BC49" s="37">
        <f t="shared" si="39"/>
        <v>0</v>
      </c>
      <c r="BD49" s="37">
        <f t="shared" si="40"/>
        <v>0</v>
      </c>
      <c r="BE49" s="37">
        <v>0</v>
      </c>
      <c r="BF49" s="37">
        <f>49</f>
        <v>49</v>
      </c>
      <c r="BH49" s="37">
        <f t="shared" si="41"/>
        <v>0</v>
      </c>
      <c r="BI49" s="37">
        <f t="shared" si="42"/>
        <v>0</v>
      </c>
      <c r="BJ49" s="37">
        <f t="shared" si="43"/>
        <v>0</v>
      </c>
      <c r="BK49" s="37"/>
      <c r="BL49" s="37">
        <v>31</v>
      </c>
      <c r="BW49" s="37">
        <v>21</v>
      </c>
      <c r="BX49" s="3" t="s">
        <v>308</v>
      </c>
    </row>
    <row r="50" spans="1:76" x14ac:dyDescent="0.25">
      <c r="A50" s="1" t="s">
        <v>310</v>
      </c>
      <c r="B50" s="2" t="s">
        <v>311</v>
      </c>
      <c r="C50" s="258" t="s">
        <v>312</v>
      </c>
      <c r="D50" s="259"/>
      <c r="E50" s="2" t="s">
        <v>313</v>
      </c>
      <c r="F50" s="37">
        <v>1.5</v>
      </c>
      <c r="G50" s="66">
        <v>0</v>
      </c>
      <c r="H50" s="37">
        <f t="shared" si="22"/>
        <v>0</v>
      </c>
      <c r="I50" s="37">
        <f t="shared" si="23"/>
        <v>0</v>
      </c>
      <c r="J50" s="37">
        <f t="shared" si="24"/>
        <v>0</v>
      </c>
      <c r="K50" s="67" t="s">
        <v>217</v>
      </c>
      <c r="Z50" s="37">
        <f t="shared" si="25"/>
        <v>0</v>
      </c>
      <c r="AB50" s="37">
        <f t="shared" si="26"/>
        <v>0</v>
      </c>
      <c r="AC50" s="37">
        <f t="shared" si="27"/>
        <v>0</v>
      </c>
      <c r="AD50" s="37">
        <f t="shared" si="28"/>
        <v>0</v>
      </c>
      <c r="AE50" s="37">
        <f t="shared" si="29"/>
        <v>0</v>
      </c>
      <c r="AF50" s="37">
        <f t="shared" si="30"/>
        <v>0</v>
      </c>
      <c r="AG50" s="37">
        <f t="shared" si="31"/>
        <v>0</v>
      </c>
      <c r="AH50" s="37">
        <f t="shared" si="32"/>
        <v>0</v>
      </c>
      <c r="AI50" s="49" t="s">
        <v>89</v>
      </c>
      <c r="AJ50" s="37">
        <f t="shared" si="33"/>
        <v>0</v>
      </c>
      <c r="AK50" s="37">
        <f t="shared" si="34"/>
        <v>0</v>
      </c>
      <c r="AL50" s="37">
        <f t="shared" si="35"/>
        <v>0</v>
      </c>
      <c r="AN50" s="37">
        <v>21</v>
      </c>
      <c r="AO50" s="37">
        <f>G50*0.567907349</f>
        <v>0</v>
      </c>
      <c r="AP50" s="37">
        <f>G50*(1-0.567907349)</f>
        <v>0</v>
      </c>
      <c r="AQ50" s="68" t="s">
        <v>213</v>
      </c>
      <c r="AV50" s="37">
        <f t="shared" si="36"/>
        <v>0</v>
      </c>
      <c r="AW50" s="37">
        <f t="shared" si="37"/>
        <v>0</v>
      </c>
      <c r="AX50" s="37">
        <f t="shared" si="38"/>
        <v>0</v>
      </c>
      <c r="AY50" s="68" t="s">
        <v>297</v>
      </c>
      <c r="AZ50" s="68" t="s">
        <v>298</v>
      </c>
      <c r="BA50" s="49" t="s">
        <v>220</v>
      </c>
      <c r="BC50" s="37">
        <f t="shared" si="39"/>
        <v>0</v>
      </c>
      <c r="BD50" s="37">
        <f t="shared" si="40"/>
        <v>0</v>
      </c>
      <c r="BE50" s="37">
        <v>0</v>
      </c>
      <c r="BF50" s="37">
        <f>50</f>
        <v>50</v>
      </c>
      <c r="BH50" s="37">
        <f t="shared" si="41"/>
        <v>0</v>
      </c>
      <c r="BI50" s="37">
        <f t="shared" si="42"/>
        <v>0</v>
      </c>
      <c r="BJ50" s="37">
        <f t="shared" si="43"/>
        <v>0</v>
      </c>
      <c r="BK50" s="37"/>
      <c r="BL50" s="37">
        <v>31</v>
      </c>
      <c r="BW50" s="37">
        <v>21</v>
      </c>
      <c r="BX50" s="3" t="s">
        <v>312</v>
      </c>
    </row>
    <row r="51" spans="1:76" x14ac:dyDescent="0.25">
      <c r="A51" s="1" t="s">
        <v>105</v>
      </c>
      <c r="B51" s="2" t="s">
        <v>314</v>
      </c>
      <c r="C51" s="258" t="s">
        <v>315</v>
      </c>
      <c r="D51" s="259"/>
      <c r="E51" s="2" t="s">
        <v>251</v>
      </c>
      <c r="F51" s="37">
        <v>3.2</v>
      </c>
      <c r="G51" s="66">
        <v>0</v>
      </c>
      <c r="H51" s="37">
        <f t="shared" si="22"/>
        <v>0</v>
      </c>
      <c r="I51" s="37">
        <f t="shared" si="23"/>
        <v>0</v>
      </c>
      <c r="J51" s="37">
        <f t="shared" si="24"/>
        <v>0</v>
      </c>
      <c r="K51" s="67" t="s">
        <v>217</v>
      </c>
      <c r="Z51" s="37">
        <f t="shared" si="25"/>
        <v>0</v>
      </c>
      <c r="AB51" s="37">
        <f t="shared" si="26"/>
        <v>0</v>
      </c>
      <c r="AC51" s="37">
        <f t="shared" si="27"/>
        <v>0</v>
      </c>
      <c r="AD51" s="37">
        <f t="shared" si="28"/>
        <v>0</v>
      </c>
      <c r="AE51" s="37">
        <f t="shared" si="29"/>
        <v>0</v>
      </c>
      <c r="AF51" s="37">
        <f t="shared" si="30"/>
        <v>0</v>
      </c>
      <c r="AG51" s="37">
        <f t="shared" si="31"/>
        <v>0</v>
      </c>
      <c r="AH51" s="37">
        <f t="shared" si="32"/>
        <v>0</v>
      </c>
      <c r="AI51" s="49" t="s">
        <v>89</v>
      </c>
      <c r="AJ51" s="37">
        <f t="shared" si="33"/>
        <v>0</v>
      </c>
      <c r="AK51" s="37">
        <f t="shared" si="34"/>
        <v>0</v>
      </c>
      <c r="AL51" s="37">
        <f t="shared" si="35"/>
        <v>0</v>
      </c>
      <c r="AN51" s="37">
        <v>21</v>
      </c>
      <c r="AO51" s="37">
        <f>G51*0.803196995</f>
        <v>0</v>
      </c>
      <c r="AP51" s="37">
        <f>G51*(1-0.803196995)</f>
        <v>0</v>
      </c>
      <c r="AQ51" s="68" t="s">
        <v>213</v>
      </c>
      <c r="AV51" s="37">
        <f t="shared" si="36"/>
        <v>0</v>
      </c>
      <c r="AW51" s="37">
        <f t="shared" si="37"/>
        <v>0</v>
      </c>
      <c r="AX51" s="37">
        <f t="shared" si="38"/>
        <v>0</v>
      </c>
      <c r="AY51" s="68" t="s">
        <v>297</v>
      </c>
      <c r="AZ51" s="68" t="s">
        <v>298</v>
      </c>
      <c r="BA51" s="49" t="s">
        <v>220</v>
      </c>
      <c r="BC51" s="37">
        <f t="shared" si="39"/>
        <v>0</v>
      </c>
      <c r="BD51" s="37">
        <f t="shared" si="40"/>
        <v>0</v>
      </c>
      <c r="BE51" s="37">
        <v>0</v>
      </c>
      <c r="BF51" s="37">
        <f>51</f>
        <v>51</v>
      </c>
      <c r="BH51" s="37">
        <f t="shared" si="41"/>
        <v>0</v>
      </c>
      <c r="BI51" s="37">
        <f t="shared" si="42"/>
        <v>0</v>
      </c>
      <c r="BJ51" s="37">
        <f t="shared" si="43"/>
        <v>0</v>
      </c>
      <c r="BK51" s="37"/>
      <c r="BL51" s="37">
        <v>31</v>
      </c>
      <c r="BW51" s="37">
        <v>21</v>
      </c>
      <c r="BX51" s="3" t="s">
        <v>315</v>
      </c>
    </row>
    <row r="52" spans="1:76" x14ac:dyDescent="0.25">
      <c r="A52" s="1" t="s">
        <v>316</v>
      </c>
      <c r="B52" s="2" t="s">
        <v>317</v>
      </c>
      <c r="C52" s="258" t="s">
        <v>318</v>
      </c>
      <c r="D52" s="259"/>
      <c r="E52" s="2" t="s">
        <v>251</v>
      </c>
      <c r="F52" s="37">
        <v>1.1020000000000001</v>
      </c>
      <c r="G52" s="66">
        <v>0</v>
      </c>
      <c r="H52" s="37">
        <f t="shared" si="22"/>
        <v>0</v>
      </c>
      <c r="I52" s="37">
        <f t="shared" si="23"/>
        <v>0</v>
      </c>
      <c r="J52" s="37">
        <f t="shared" si="24"/>
        <v>0</v>
      </c>
      <c r="K52" s="67" t="s">
        <v>217</v>
      </c>
      <c r="Z52" s="37">
        <f t="shared" si="25"/>
        <v>0</v>
      </c>
      <c r="AB52" s="37">
        <f t="shared" si="26"/>
        <v>0</v>
      </c>
      <c r="AC52" s="37">
        <f t="shared" si="27"/>
        <v>0</v>
      </c>
      <c r="AD52" s="37">
        <f t="shared" si="28"/>
        <v>0</v>
      </c>
      <c r="AE52" s="37">
        <f t="shared" si="29"/>
        <v>0</v>
      </c>
      <c r="AF52" s="37">
        <f t="shared" si="30"/>
        <v>0</v>
      </c>
      <c r="AG52" s="37">
        <f t="shared" si="31"/>
        <v>0</v>
      </c>
      <c r="AH52" s="37">
        <f t="shared" si="32"/>
        <v>0</v>
      </c>
      <c r="AI52" s="49" t="s">
        <v>89</v>
      </c>
      <c r="AJ52" s="37">
        <f t="shared" si="33"/>
        <v>0</v>
      </c>
      <c r="AK52" s="37">
        <f t="shared" si="34"/>
        <v>0</v>
      </c>
      <c r="AL52" s="37">
        <f t="shared" si="35"/>
        <v>0</v>
      </c>
      <c r="AN52" s="37">
        <v>21</v>
      </c>
      <c r="AO52" s="37">
        <f>G52*0.805502137</f>
        <v>0</v>
      </c>
      <c r="AP52" s="37">
        <f>G52*(1-0.805502137)</f>
        <v>0</v>
      </c>
      <c r="AQ52" s="68" t="s">
        <v>213</v>
      </c>
      <c r="AV52" s="37">
        <f t="shared" si="36"/>
        <v>0</v>
      </c>
      <c r="AW52" s="37">
        <f t="shared" si="37"/>
        <v>0</v>
      </c>
      <c r="AX52" s="37">
        <f t="shared" si="38"/>
        <v>0</v>
      </c>
      <c r="AY52" s="68" t="s">
        <v>297</v>
      </c>
      <c r="AZ52" s="68" t="s">
        <v>298</v>
      </c>
      <c r="BA52" s="49" t="s">
        <v>220</v>
      </c>
      <c r="BC52" s="37">
        <f t="shared" si="39"/>
        <v>0</v>
      </c>
      <c r="BD52" s="37">
        <f t="shared" si="40"/>
        <v>0</v>
      </c>
      <c r="BE52" s="37">
        <v>0</v>
      </c>
      <c r="BF52" s="37">
        <f>52</f>
        <v>52</v>
      </c>
      <c r="BH52" s="37">
        <f t="shared" si="41"/>
        <v>0</v>
      </c>
      <c r="BI52" s="37">
        <f t="shared" si="42"/>
        <v>0</v>
      </c>
      <c r="BJ52" s="37">
        <f t="shared" si="43"/>
        <v>0</v>
      </c>
      <c r="BK52" s="37"/>
      <c r="BL52" s="37">
        <v>31</v>
      </c>
      <c r="BW52" s="37">
        <v>21</v>
      </c>
      <c r="BX52" s="3" t="s">
        <v>318</v>
      </c>
    </row>
    <row r="53" spans="1:76" x14ac:dyDescent="0.25">
      <c r="A53" s="1" t="s">
        <v>319</v>
      </c>
      <c r="B53" s="2" t="s">
        <v>320</v>
      </c>
      <c r="C53" s="258" t="s">
        <v>321</v>
      </c>
      <c r="D53" s="259"/>
      <c r="E53" s="2" t="s">
        <v>251</v>
      </c>
      <c r="F53" s="37">
        <v>8.1150000000000002</v>
      </c>
      <c r="G53" s="66">
        <v>0</v>
      </c>
      <c r="H53" s="37">
        <f t="shared" si="22"/>
        <v>0</v>
      </c>
      <c r="I53" s="37">
        <f t="shared" si="23"/>
        <v>0</v>
      </c>
      <c r="J53" s="37">
        <f t="shared" si="24"/>
        <v>0</v>
      </c>
      <c r="K53" s="67" t="s">
        <v>217</v>
      </c>
      <c r="Z53" s="37">
        <f t="shared" si="25"/>
        <v>0</v>
      </c>
      <c r="AB53" s="37">
        <f t="shared" si="26"/>
        <v>0</v>
      </c>
      <c r="AC53" s="37">
        <f t="shared" si="27"/>
        <v>0</v>
      </c>
      <c r="AD53" s="37">
        <f t="shared" si="28"/>
        <v>0</v>
      </c>
      <c r="AE53" s="37">
        <f t="shared" si="29"/>
        <v>0</v>
      </c>
      <c r="AF53" s="37">
        <f t="shared" si="30"/>
        <v>0</v>
      </c>
      <c r="AG53" s="37">
        <f t="shared" si="31"/>
        <v>0</v>
      </c>
      <c r="AH53" s="37">
        <f t="shared" si="32"/>
        <v>0</v>
      </c>
      <c r="AI53" s="49" t="s">
        <v>89</v>
      </c>
      <c r="AJ53" s="37">
        <f t="shared" si="33"/>
        <v>0</v>
      </c>
      <c r="AK53" s="37">
        <f t="shared" si="34"/>
        <v>0</v>
      </c>
      <c r="AL53" s="37">
        <f t="shared" si="35"/>
        <v>0</v>
      </c>
      <c r="AN53" s="37">
        <v>21</v>
      </c>
      <c r="AO53" s="37">
        <f>G53*0.713603896</f>
        <v>0</v>
      </c>
      <c r="AP53" s="37">
        <f>G53*(1-0.713603896)</f>
        <v>0</v>
      </c>
      <c r="AQ53" s="68" t="s">
        <v>213</v>
      </c>
      <c r="AV53" s="37">
        <f t="shared" si="36"/>
        <v>0</v>
      </c>
      <c r="AW53" s="37">
        <f t="shared" si="37"/>
        <v>0</v>
      </c>
      <c r="AX53" s="37">
        <f t="shared" si="38"/>
        <v>0</v>
      </c>
      <c r="AY53" s="68" t="s">
        <v>297</v>
      </c>
      <c r="AZ53" s="68" t="s">
        <v>298</v>
      </c>
      <c r="BA53" s="49" t="s">
        <v>220</v>
      </c>
      <c r="BC53" s="37">
        <f t="shared" si="39"/>
        <v>0</v>
      </c>
      <c r="BD53" s="37">
        <f t="shared" si="40"/>
        <v>0</v>
      </c>
      <c r="BE53" s="37">
        <v>0</v>
      </c>
      <c r="BF53" s="37">
        <f>53</f>
        <v>53</v>
      </c>
      <c r="BH53" s="37">
        <f t="shared" si="41"/>
        <v>0</v>
      </c>
      <c r="BI53" s="37">
        <f t="shared" si="42"/>
        <v>0</v>
      </c>
      <c r="BJ53" s="37">
        <f t="shared" si="43"/>
        <v>0</v>
      </c>
      <c r="BK53" s="37"/>
      <c r="BL53" s="37">
        <v>31</v>
      </c>
      <c r="BW53" s="37">
        <v>21</v>
      </c>
      <c r="BX53" s="3" t="s">
        <v>321</v>
      </c>
    </row>
    <row r="54" spans="1:76" x14ac:dyDescent="0.25">
      <c r="A54" s="1" t="s">
        <v>107</v>
      </c>
      <c r="B54" s="2" t="s">
        <v>322</v>
      </c>
      <c r="C54" s="258" t="s">
        <v>323</v>
      </c>
      <c r="D54" s="259"/>
      <c r="E54" s="2" t="s">
        <v>266</v>
      </c>
      <c r="F54" s="37">
        <v>0.12222</v>
      </c>
      <c r="G54" s="66">
        <v>0</v>
      </c>
      <c r="H54" s="37">
        <f t="shared" si="22"/>
        <v>0</v>
      </c>
      <c r="I54" s="37">
        <f t="shared" si="23"/>
        <v>0</v>
      </c>
      <c r="J54" s="37">
        <f t="shared" si="24"/>
        <v>0</v>
      </c>
      <c r="K54" s="67" t="s">
        <v>217</v>
      </c>
      <c r="Z54" s="37">
        <f t="shared" si="25"/>
        <v>0</v>
      </c>
      <c r="AB54" s="37">
        <f t="shared" si="26"/>
        <v>0</v>
      </c>
      <c r="AC54" s="37">
        <f t="shared" si="27"/>
        <v>0</v>
      </c>
      <c r="AD54" s="37">
        <f t="shared" si="28"/>
        <v>0</v>
      </c>
      <c r="AE54" s="37">
        <f t="shared" si="29"/>
        <v>0</v>
      </c>
      <c r="AF54" s="37">
        <f t="shared" si="30"/>
        <v>0</v>
      </c>
      <c r="AG54" s="37">
        <f t="shared" si="31"/>
        <v>0</v>
      </c>
      <c r="AH54" s="37">
        <f t="shared" si="32"/>
        <v>0</v>
      </c>
      <c r="AI54" s="49" t="s">
        <v>89</v>
      </c>
      <c r="AJ54" s="37">
        <f t="shared" si="33"/>
        <v>0</v>
      </c>
      <c r="AK54" s="37">
        <f t="shared" si="34"/>
        <v>0</v>
      </c>
      <c r="AL54" s="37">
        <f t="shared" si="35"/>
        <v>0</v>
      </c>
      <c r="AN54" s="37">
        <v>21</v>
      </c>
      <c r="AO54" s="37">
        <f>G54*0.721133511</f>
        <v>0</v>
      </c>
      <c r="AP54" s="37">
        <f>G54*(1-0.721133511)</f>
        <v>0</v>
      </c>
      <c r="AQ54" s="68" t="s">
        <v>213</v>
      </c>
      <c r="AV54" s="37">
        <f t="shared" si="36"/>
        <v>0</v>
      </c>
      <c r="AW54" s="37">
        <f t="shared" si="37"/>
        <v>0</v>
      </c>
      <c r="AX54" s="37">
        <f t="shared" si="38"/>
        <v>0</v>
      </c>
      <c r="AY54" s="68" t="s">
        <v>297</v>
      </c>
      <c r="AZ54" s="68" t="s">
        <v>298</v>
      </c>
      <c r="BA54" s="49" t="s">
        <v>220</v>
      </c>
      <c r="BC54" s="37">
        <f t="shared" si="39"/>
        <v>0</v>
      </c>
      <c r="BD54" s="37">
        <f t="shared" si="40"/>
        <v>0</v>
      </c>
      <c r="BE54" s="37">
        <v>0</v>
      </c>
      <c r="BF54" s="37">
        <f>54</f>
        <v>54</v>
      </c>
      <c r="BH54" s="37">
        <f t="shared" si="41"/>
        <v>0</v>
      </c>
      <c r="BI54" s="37">
        <f t="shared" si="42"/>
        <v>0</v>
      </c>
      <c r="BJ54" s="37">
        <f t="shared" si="43"/>
        <v>0</v>
      </c>
      <c r="BK54" s="37"/>
      <c r="BL54" s="37">
        <v>31</v>
      </c>
      <c r="BW54" s="37">
        <v>21</v>
      </c>
      <c r="BX54" s="3" t="s">
        <v>323</v>
      </c>
    </row>
    <row r="55" spans="1:76" x14ac:dyDescent="0.25">
      <c r="A55" s="1" t="s">
        <v>324</v>
      </c>
      <c r="B55" s="2" t="s">
        <v>325</v>
      </c>
      <c r="C55" s="258" t="s">
        <v>326</v>
      </c>
      <c r="D55" s="259"/>
      <c r="E55" s="2" t="s">
        <v>313</v>
      </c>
      <c r="F55" s="37">
        <v>5.41</v>
      </c>
      <c r="G55" s="66">
        <v>0</v>
      </c>
      <c r="H55" s="37">
        <f t="shared" si="22"/>
        <v>0</v>
      </c>
      <c r="I55" s="37">
        <f t="shared" si="23"/>
        <v>0</v>
      </c>
      <c r="J55" s="37">
        <f t="shared" si="24"/>
        <v>0</v>
      </c>
      <c r="K55" s="67" t="s">
        <v>327</v>
      </c>
      <c r="Z55" s="37">
        <f t="shared" si="25"/>
        <v>0</v>
      </c>
      <c r="AB55" s="37">
        <f t="shared" si="26"/>
        <v>0</v>
      </c>
      <c r="AC55" s="37">
        <f t="shared" si="27"/>
        <v>0</v>
      </c>
      <c r="AD55" s="37">
        <f t="shared" si="28"/>
        <v>0</v>
      </c>
      <c r="AE55" s="37">
        <f t="shared" si="29"/>
        <v>0</v>
      </c>
      <c r="AF55" s="37">
        <f t="shared" si="30"/>
        <v>0</v>
      </c>
      <c r="AG55" s="37">
        <f t="shared" si="31"/>
        <v>0</v>
      </c>
      <c r="AH55" s="37">
        <f t="shared" si="32"/>
        <v>0</v>
      </c>
      <c r="AI55" s="49" t="s">
        <v>89</v>
      </c>
      <c r="AJ55" s="37">
        <f t="shared" si="33"/>
        <v>0</v>
      </c>
      <c r="AK55" s="37">
        <f t="shared" si="34"/>
        <v>0</v>
      </c>
      <c r="AL55" s="37">
        <f t="shared" si="35"/>
        <v>0</v>
      </c>
      <c r="AN55" s="37">
        <v>21</v>
      </c>
      <c r="AO55" s="37">
        <f>G55*0.852768362</f>
        <v>0</v>
      </c>
      <c r="AP55" s="37">
        <f>G55*(1-0.852768362)</f>
        <v>0</v>
      </c>
      <c r="AQ55" s="68" t="s">
        <v>213</v>
      </c>
      <c r="AV55" s="37">
        <f t="shared" si="36"/>
        <v>0</v>
      </c>
      <c r="AW55" s="37">
        <f t="shared" si="37"/>
        <v>0</v>
      </c>
      <c r="AX55" s="37">
        <f t="shared" si="38"/>
        <v>0</v>
      </c>
      <c r="AY55" s="68" t="s">
        <v>297</v>
      </c>
      <c r="AZ55" s="68" t="s">
        <v>298</v>
      </c>
      <c r="BA55" s="49" t="s">
        <v>220</v>
      </c>
      <c r="BC55" s="37">
        <f t="shared" si="39"/>
        <v>0</v>
      </c>
      <c r="BD55" s="37">
        <f t="shared" si="40"/>
        <v>0</v>
      </c>
      <c r="BE55" s="37">
        <v>0</v>
      </c>
      <c r="BF55" s="37">
        <f>55</f>
        <v>55</v>
      </c>
      <c r="BH55" s="37">
        <f t="shared" si="41"/>
        <v>0</v>
      </c>
      <c r="BI55" s="37">
        <f t="shared" si="42"/>
        <v>0</v>
      </c>
      <c r="BJ55" s="37">
        <f t="shared" si="43"/>
        <v>0</v>
      </c>
      <c r="BK55" s="37"/>
      <c r="BL55" s="37">
        <v>31</v>
      </c>
      <c r="BW55" s="37">
        <v>21</v>
      </c>
      <c r="BX55" s="3" t="s">
        <v>326</v>
      </c>
    </row>
    <row r="56" spans="1:76" x14ac:dyDescent="0.25">
      <c r="A56" s="61" t="s">
        <v>4</v>
      </c>
      <c r="B56" s="62" t="s">
        <v>107</v>
      </c>
      <c r="C56" s="343" t="s">
        <v>108</v>
      </c>
      <c r="D56" s="344"/>
      <c r="E56" s="63" t="s">
        <v>81</v>
      </c>
      <c r="F56" s="63" t="s">
        <v>81</v>
      </c>
      <c r="G56" s="64" t="s">
        <v>81</v>
      </c>
      <c r="H56" s="43">
        <f>SUM(H57:H60)</f>
        <v>0</v>
      </c>
      <c r="I56" s="43">
        <f>SUM(I57:I60)</f>
        <v>0</v>
      </c>
      <c r="J56" s="43">
        <f>SUM(J57:J60)</f>
        <v>0</v>
      </c>
      <c r="K56" s="65" t="s">
        <v>4</v>
      </c>
      <c r="AI56" s="49" t="s">
        <v>89</v>
      </c>
      <c r="AS56" s="43">
        <f>SUM(AJ57:AJ60)</f>
        <v>0</v>
      </c>
      <c r="AT56" s="43">
        <f>SUM(AK57:AK60)</f>
        <v>0</v>
      </c>
      <c r="AU56" s="43">
        <f>SUM(AL57:AL60)</f>
        <v>0</v>
      </c>
    </row>
    <row r="57" spans="1:76" x14ac:dyDescent="0.25">
      <c r="A57" s="1" t="s">
        <v>328</v>
      </c>
      <c r="B57" s="2" t="s">
        <v>329</v>
      </c>
      <c r="C57" s="258" t="s">
        <v>330</v>
      </c>
      <c r="D57" s="259"/>
      <c r="E57" s="2" t="s">
        <v>251</v>
      </c>
      <c r="F57" s="37">
        <v>13.1897</v>
      </c>
      <c r="G57" s="66">
        <v>0</v>
      </c>
      <c r="H57" s="37">
        <f>F57*AO57</f>
        <v>0</v>
      </c>
      <c r="I57" s="37">
        <f>F57*AP57</f>
        <v>0</v>
      </c>
      <c r="J57" s="37">
        <f>F57*G57</f>
        <v>0</v>
      </c>
      <c r="K57" s="67" t="s">
        <v>217</v>
      </c>
      <c r="Z57" s="37">
        <f>IF(AQ57="5",BJ57,0)</f>
        <v>0</v>
      </c>
      <c r="AB57" s="37">
        <f>IF(AQ57="1",BH57,0)</f>
        <v>0</v>
      </c>
      <c r="AC57" s="37">
        <f>IF(AQ57="1",BI57,0)</f>
        <v>0</v>
      </c>
      <c r="AD57" s="37">
        <f>IF(AQ57="7",BH57,0)</f>
        <v>0</v>
      </c>
      <c r="AE57" s="37">
        <f>IF(AQ57="7",BI57,0)</f>
        <v>0</v>
      </c>
      <c r="AF57" s="37">
        <f>IF(AQ57="2",BH57,0)</f>
        <v>0</v>
      </c>
      <c r="AG57" s="37">
        <f>IF(AQ57="2",BI57,0)</f>
        <v>0</v>
      </c>
      <c r="AH57" s="37">
        <f>IF(AQ57="0",BJ57,0)</f>
        <v>0</v>
      </c>
      <c r="AI57" s="49" t="s">
        <v>89</v>
      </c>
      <c r="AJ57" s="37">
        <f>IF(AN57=0,J57,0)</f>
        <v>0</v>
      </c>
      <c r="AK57" s="37">
        <f>IF(AN57=12,J57,0)</f>
        <v>0</v>
      </c>
      <c r="AL57" s="37">
        <f>IF(AN57=21,J57,0)</f>
        <v>0</v>
      </c>
      <c r="AN57" s="37">
        <v>21</v>
      </c>
      <c r="AO57" s="37">
        <f>G57*0.469009527</f>
        <v>0</v>
      </c>
      <c r="AP57" s="37">
        <f>G57*(1-0.469009527)</f>
        <v>0</v>
      </c>
      <c r="AQ57" s="68" t="s">
        <v>213</v>
      </c>
      <c r="AV57" s="37">
        <f>AW57+AX57</f>
        <v>0</v>
      </c>
      <c r="AW57" s="37">
        <f>F57*AO57</f>
        <v>0</v>
      </c>
      <c r="AX57" s="37">
        <f>F57*AP57</f>
        <v>0</v>
      </c>
      <c r="AY57" s="68" t="s">
        <v>331</v>
      </c>
      <c r="AZ57" s="68" t="s">
        <v>298</v>
      </c>
      <c r="BA57" s="49" t="s">
        <v>220</v>
      </c>
      <c r="BC57" s="37">
        <f>AW57+AX57</f>
        <v>0</v>
      </c>
      <c r="BD57" s="37">
        <f>G57/(100-BE57)*100</f>
        <v>0</v>
      </c>
      <c r="BE57" s="37">
        <v>0</v>
      </c>
      <c r="BF57" s="37">
        <f>57</f>
        <v>57</v>
      </c>
      <c r="BH57" s="37">
        <f>F57*AO57</f>
        <v>0</v>
      </c>
      <c r="BI57" s="37">
        <f>F57*AP57</f>
        <v>0</v>
      </c>
      <c r="BJ57" s="37">
        <f>F57*G57</f>
        <v>0</v>
      </c>
      <c r="BK57" s="37"/>
      <c r="BL57" s="37">
        <v>34</v>
      </c>
      <c r="BW57" s="37">
        <v>21</v>
      </c>
      <c r="BX57" s="3" t="s">
        <v>330</v>
      </c>
    </row>
    <row r="58" spans="1:76" x14ac:dyDescent="0.25">
      <c r="A58" s="1" t="s">
        <v>332</v>
      </c>
      <c r="B58" s="2" t="s">
        <v>333</v>
      </c>
      <c r="C58" s="258" t="s">
        <v>334</v>
      </c>
      <c r="D58" s="259"/>
      <c r="E58" s="2" t="s">
        <v>251</v>
      </c>
      <c r="F58" s="37">
        <v>16.095500000000001</v>
      </c>
      <c r="G58" s="66">
        <v>0</v>
      </c>
      <c r="H58" s="37">
        <f>F58*AO58</f>
        <v>0</v>
      </c>
      <c r="I58" s="37">
        <f>F58*AP58</f>
        <v>0</v>
      </c>
      <c r="J58" s="37">
        <f>F58*G58</f>
        <v>0</v>
      </c>
      <c r="K58" s="67" t="s">
        <v>217</v>
      </c>
      <c r="Z58" s="37">
        <f>IF(AQ58="5",BJ58,0)</f>
        <v>0</v>
      </c>
      <c r="AB58" s="37">
        <f>IF(AQ58="1",BH58,0)</f>
        <v>0</v>
      </c>
      <c r="AC58" s="37">
        <f>IF(AQ58="1",BI58,0)</f>
        <v>0</v>
      </c>
      <c r="AD58" s="37">
        <f>IF(AQ58="7",BH58,0)</f>
        <v>0</v>
      </c>
      <c r="AE58" s="37">
        <f>IF(AQ58="7",BI58,0)</f>
        <v>0</v>
      </c>
      <c r="AF58" s="37">
        <f>IF(AQ58="2",BH58,0)</f>
        <v>0</v>
      </c>
      <c r="AG58" s="37">
        <f>IF(AQ58="2",BI58,0)</f>
        <v>0</v>
      </c>
      <c r="AH58" s="37">
        <f>IF(AQ58="0",BJ58,0)</f>
        <v>0</v>
      </c>
      <c r="AI58" s="49" t="s">
        <v>89</v>
      </c>
      <c r="AJ58" s="37">
        <f>IF(AN58=0,J58,0)</f>
        <v>0</v>
      </c>
      <c r="AK58" s="37">
        <f>IF(AN58=12,J58,0)</f>
        <v>0</v>
      </c>
      <c r="AL58" s="37">
        <f>IF(AN58=21,J58,0)</f>
        <v>0</v>
      </c>
      <c r="AN58" s="37">
        <v>21</v>
      </c>
      <c r="AO58" s="37">
        <f>G58*0.526876351</f>
        <v>0</v>
      </c>
      <c r="AP58" s="37">
        <f>G58*(1-0.526876351)</f>
        <v>0</v>
      </c>
      <c r="AQ58" s="68" t="s">
        <v>213</v>
      </c>
      <c r="AV58" s="37">
        <f>AW58+AX58</f>
        <v>0</v>
      </c>
      <c r="AW58" s="37">
        <f>F58*AO58</f>
        <v>0</v>
      </c>
      <c r="AX58" s="37">
        <f>F58*AP58</f>
        <v>0</v>
      </c>
      <c r="AY58" s="68" t="s">
        <v>331</v>
      </c>
      <c r="AZ58" s="68" t="s">
        <v>298</v>
      </c>
      <c r="BA58" s="49" t="s">
        <v>220</v>
      </c>
      <c r="BC58" s="37">
        <f>AW58+AX58</f>
        <v>0</v>
      </c>
      <c r="BD58" s="37">
        <f>G58/(100-BE58)*100</f>
        <v>0</v>
      </c>
      <c r="BE58" s="37">
        <v>0</v>
      </c>
      <c r="BF58" s="37">
        <f>58</f>
        <v>58</v>
      </c>
      <c r="BH58" s="37">
        <f>F58*AO58</f>
        <v>0</v>
      </c>
      <c r="BI58" s="37">
        <f>F58*AP58</f>
        <v>0</v>
      </c>
      <c r="BJ58" s="37">
        <f>F58*G58</f>
        <v>0</v>
      </c>
      <c r="BK58" s="37"/>
      <c r="BL58" s="37">
        <v>34</v>
      </c>
      <c r="BW58" s="37">
        <v>21</v>
      </c>
      <c r="BX58" s="3" t="s">
        <v>334</v>
      </c>
    </row>
    <row r="59" spans="1:76" x14ac:dyDescent="0.25">
      <c r="A59" s="1" t="s">
        <v>335</v>
      </c>
      <c r="B59" s="2" t="s">
        <v>336</v>
      </c>
      <c r="C59" s="258" t="s">
        <v>337</v>
      </c>
      <c r="D59" s="259"/>
      <c r="E59" s="2" t="s">
        <v>251</v>
      </c>
      <c r="F59" s="37">
        <v>6.48</v>
      </c>
      <c r="G59" s="66">
        <v>0</v>
      </c>
      <c r="H59" s="37">
        <f>F59*AO59</f>
        <v>0</v>
      </c>
      <c r="I59" s="37">
        <f>F59*AP59</f>
        <v>0</v>
      </c>
      <c r="J59" s="37">
        <f>F59*G59</f>
        <v>0</v>
      </c>
      <c r="K59" s="67" t="s">
        <v>327</v>
      </c>
      <c r="Z59" s="37">
        <f>IF(AQ59="5",BJ59,0)</f>
        <v>0</v>
      </c>
      <c r="AB59" s="37">
        <f>IF(AQ59="1",BH59,0)</f>
        <v>0</v>
      </c>
      <c r="AC59" s="37">
        <f>IF(AQ59="1",BI59,0)</f>
        <v>0</v>
      </c>
      <c r="AD59" s="37">
        <f>IF(AQ59="7",BH59,0)</f>
        <v>0</v>
      </c>
      <c r="AE59" s="37">
        <f>IF(AQ59="7",BI59,0)</f>
        <v>0</v>
      </c>
      <c r="AF59" s="37">
        <f>IF(AQ59="2",BH59,0)</f>
        <v>0</v>
      </c>
      <c r="AG59" s="37">
        <f>IF(AQ59="2",BI59,0)</f>
        <v>0</v>
      </c>
      <c r="AH59" s="37">
        <f>IF(AQ59="0",BJ59,0)</f>
        <v>0</v>
      </c>
      <c r="AI59" s="49" t="s">
        <v>89</v>
      </c>
      <c r="AJ59" s="37">
        <f>IF(AN59=0,J59,0)</f>
        <v>0</v>
      </c>
      <c r="AK59" s="37">
        <f>IF(AN59=12,J59,0)</f>
        <v>0</v>
      </c>
      <c r="AL59" s="37">
        <f>IF(AN59=21,J59,0)</f>
        <v>0</v>
      </c>
      <c r="AN59" s="37">
        <v>21</v>
      </c>
      <c r="AO59" s="37">
        <f>G59*0.628479917</f>
        <v>0</v>
      </c>
      <c r="AP59" s="37">
        <f>G59*(1-0.628479917)</f>
        <v>0</v>
      </c>
      <c r="AQ59" s="68" t="s">
        <v>213</v>
      </c>
      <c r="AV59" s="37">
        <f>AW59+AX59</f>
        <v>0</v>
      </c>
      <c r="AW59" s="37">
        <f>F59*AO59</f>
        <v>0</v>
      </c>
      <c r="AX59" s="37">
        <f>F59*AP59</f>
        <v>0</v>
      </c>
      <c r="AY59" s="68" t="s">
        <v>331</v>
      </c>
      <c r="AZ59" s="68" t="s">
        <v>298</v>
      </c>
      <c r="BA59" s="49" t="s">
        <v>220</v>
      </c>
      <c r="BC59" s="37">
        <f>AW59+AX59</f>
        <v>0</v>
      </c>
      <c r="BD59" s="37">
        <f>G59/(100-BE59)*100</f>
        <v>0</v>
      </c>
      <c r="BE59" s="37">
        <v>0</v>
      </c>
      <c r="BF59" s="37">
        <f>59</f>
        <v>59</v>
      </c>
      <c r="BH59" s="37">
        <f>F59*AO59</f>
        <v>0</v>
      </c>
      <c r="BI59" s="37">
        <f>F59*AP59</f>
        <v>0</v>
      </c>
      <c r="BJ59" s="37">
        <f>F59*G59</f>
        <v>0</v>
      </c>
      <c r="BK59" s="37"/>
      <c r="BL59" s="37">
        <v>34</v>
      </c>
      <c r="BW59" s="37">
        <v>21</v>
      </c>
      <c r="BX59" s="3" t="s">
        <v>337</v>
      </c>
    </row>
    <row r="60" spans="1:76" x14ac:dyDescent="0.25">
      <c r="A60" s="1" t="s">
        <v>338</v>
      </c>
      <c r="B60" s="2" t="s">
        <v>339</v>
      </c>
      <c r="C60" s="258" t="s">
        <v>340</v>
      </c>
      <c r="D60" s="259"/>
      <c r="E60" s="2" t="s">
        <v>251</v>
      </c>
      <c r="F60" s="37">
        <v>1.0834999999999999</v>
      </c>
      <c r="G60" s="66">
        <v>0</v>
      </c>
      <c r="H60" s="37">
        <f>F60*AO60</f>
        <v>0</v>
      </c>
      <c r="I60" s="37">
        <f>F60*AP60</f>
        <v>0</v>
      </c>
      <c r="J60" s="37">
        <f>F60*G60</f>
        <v>0</v>
      </c>
      <c r="K60" s="67" t="s">
        <v>217</v>
      </c>
      <c r="Z60" s="37">
        <f>IF(AQ60="5",BJ60,0)</f>
        <v>0</v>
      </c>
      <c r="AB60" s="37">
        <f>IF(AQ60="1",BH60,0)</f>
        <v>0</v>
      </c>
      <c r="AC60" s="37">
        <f>IF(AQ60="1",BI60,0)</f>
        <v>0</v>
      </c>
      <c r="AD60" s="37">
        <f>IF(AQ60="7",BH60,0)</f>
        <v>0</v>
      </c>
      <c r="AE60" s="37">
        <f>IF(AQ60="7",BI60,0)</f>
        <v>0</v>
      </c>
      <c r="AF60" s="37">
        <f>IF(AQ60="2",BH60,0)</f>
        <v>0</v>
      </c>
      <c r="AG60" s="37">
        <f>IF(AQ60="2",BI60,0)</f>
        <v>0</v>
      </c>
      <c r="AH60" s="37">
        <f>IF(AQ60="0",BJ60,0)</f>
        <v>0</v>
      </c>
      <c r="AI60" s="49" t="s">
        <v>89</v>
      </c>
      <c r="AJ60" s="37">
        <f>IF(AN60=0,J60,0)</f>
        <v>0</v>
      </c>
      <c r="AK60" s="37">
        <f>IF(AN60=12,J60,0)</f>
        <v>0</v>
      </c>
      <c r="AL60" s="37">
        <f>IF(AN60=21,J60,0)</f>
        <v>0</v>
      </c>
      <c r="AN60" s="37">
        <v>21</v>
      </c>
      <c r="AO60" s="37">
        <f>G60*0.717859933</f>
        <v>0</v>
      </c>
      <c r="AP60" s="37">
        <f>G60*(1-0.717859933)</f>
        <v>0</v>
      </c>
      <c r="AQ60" s="68" t="s">
        <v>213</v>
      </c>
      <c r="AV60" s="37">
        <f>AW60+AX60</f>
        <v>0</v>
      </c>
      <c r="AW60" s="37">
        <f>F60*AO60</f>
        <v>0</v>
      </c>
      <c r="AX60" s="37">
        <f>F60*AP60</f>
        <v>0</v>
      </c>
      <c r="AY60" s="68" t="s">
        <v>331</v>
      </c>
      <c r="AZ60" s="68" t="s">
        <v>298</v>
      </c>
      <c r="BA60" s="49" t="s">
        <v>220</v>
      </c>
      <c r="BC60" s="37">
        <f>AW60+AX60</f>
        <v>0</v>
      </c>
      <c r="BD60" s="37">
        <f>G60/(100-BE60)*100</f>
        <v>0</v>
      </c>
      <c r="BE60" s="37">
        <v>0</v>
      </c>
      <c r="BF60" s="37">
        <f>60</f>
        <v>60</v>
      </c>
      <c r="BH60" s="37">
        <f>F60*AO60</f>
        <v>0</v>
      </c>
      <c r="BI60" s="37">
        <f>F60*AP60</f>
        <v>0</v>
      </c>
      <c r="BJ60" s="37">
        <f>F60*G60</f>
        <v>0</v>
      </c>
      <c r="BK60" s="37"/>
      <c r="BL60" s="37">
        <v>34</v>
      </c>
      <c r="BW60" s="37">
        <v>21</v>
      </c>
      <c r="BX60" s="3" t="s">
        <v>340</v>
      </c>
    </row>
    <row r="61" spans="1:76" x14ac:dyDescent="0.25">
      <c r="A61" s="61" t="s">
        <v>4</v>
      </c>
      <c r="B61" s="62" t="s">
        <v>109</v>
      </c>
      <c r="C61" s="343" t="s">
        <v>110</v>
      </c>
      <c r="D61" s="344"/>
      <c r="E61" s="63" t="s">
        <v>81</v>
      </c>
      <c r="F61" s="63" t="s">
        <v>81</v>
      </c>
      <c r="G61" s="64" t="s">
        <v>81</v>
      </c>
      <c r="H61" s="43">
        <f>SUM(H62:H62)</f>
        <v>0</v>
      </c>
      <c r="I61" s="43">
        <f>SUM(I62:I62)</f>
        <v>0</v>
      </c>
      <c r="J61" s="43">
        <f>SUM(J62:J62)</f>
        <v>0</v>
      </c>
      <c r="K61" s="65" t="s">
        <v>4</v>
      </c>
      <c r="AI61" s="49" t="s">
        <v>89</v>
      </c>
      <c r="AS61" s="43">
        <f>SUM(AJ62:AJ62)</f>
        <v>0</v>
      </c>
      <c r="AT61" s="43">
        <f>SUM(AK62:AK62)</f>
        <v>0</v>
      </c>
      <c r="AU61" s="43">
        <f>SUM(AL62:AL62)</f>
        <v>0</v>
      </c>
    </row>
    <row r="62" spans="1:76" x14ac:dyDescent="0.25">
      <c r="A62" s="1" t="s">
        <v>341</v>
      </c>
      <c r="B62" s="2" t="s">
        <v>342</v>
      </c>
      <c r="C62" s="258" t="s">
        <v>343</v>
      </c>
      <c r="D62" s="259"/>
      <c r="E62" s="2" t="s">
        <v>251</v>
      </c>
      <c r="F62" s="37">
        <v>104.57</v>
      </c>
      <c r="G62" s="66">
        <v>0</v>
      </c>
      <c r="H62" s="37">
        <f>F62*AO62</f>
        <v>0</v>
      </c>
      <c r="I62" s="37">
        <f>F62*AP62</f>
        <v>0</v>
      </c>
      <c r="J62" s="37">
        <f>F62*G62</f>
        <v>0</v>
      </c>
      <c r="K62" s="67" t="s">
        <v>217</v>
      </c>
      <c r="Z62" s="37">
        <f>IF(AQ62="5",BJ62,0)</f>
        <v>0</v>
      </c>
      <c r="AB62" s="37">
        <f>IF(AQ62="1",BH62,0)</f>
        <v>0</v>
      </c>
      <c r="AC62" s="37">
        <f>IF(AQ62="1",BI62,0)</f>
        <v>0</v>
      </c>
      <c r="AD62" s="37">
        <f>IF(AQ62="7",BH62,0)</f>
        <v>0</v>
      </c>
      <c r="AE62" s="37">
        <f>IF(AQ62="7",BI62,0)</f>
        <v>0</v>
      </c>
      <c r="AF62" s="37">
        <f>IF(AQ62="2",BH62,0)</f>
        <v>0</v>
      </c>
      <c r="AG62" s="37">
        <f>IF(AQ62="2",BI62,0)</f>
        <v>0</v>
      </c>
      <c r="AH62" s="37">
        <f>IF(AQ62="0",BJ62,0)</f>
        <v>0</v>
      </c>
      <c r="AI62" s="49" t="s">
        <v>89</v>
      </c>
      <c r="AJ62" s="37">
        <f>IF(AN62=0,J62,0)</f>
        <v>0</v>
      </c>
      <c r="AK62" s="37">
        <f>IF(AN62=12,J62,0)</f>
        <v>0</v>
      </c>
      <c r="AL62" s="37">
        <f>IF(AN62=21,J62,0)</f>
        <v>0</v>
      </c>
      <c r="AN62" s="37">
        <v>21</v>
      </c>
      <c r="AO62" s="37">
        <f>G62*0.422289297</f>
        <v>0</v>
      </c>
      <c r="AP62" s="37">
        <f>G62*(1-0.422289297)</f>
        <v>0</v>
      </c>
      <c r="AQ62" s="68" t="s">
        <v>213</v>
      </c>
      <c r="AV62" s="37">
        <f>AW62+AX62</f>
        <v>0</v>
      </c>
      <c r="AW62" s="37">
        <f>F62*AO62</f>
        <v>0</v>
      </c>
      <c r="AX62" s="37">
        <f>F62*AP62</f>
        <v>0</v>
      </c>
      <c r="AY62" s="68" t="s">
        <v>344</v>
      </c>
      <c r="AZ62" s="68" t="s">
        <v>345</v>
      </c>
      <c r="BA62" s="49" t="s">
        <v>220</v>
      </c>
      <c r="BC62" s="37">
        <f>AW62+AX62</f>
        <v>0</v>
      </c>
      <c r="BD62" s="37">
        <f>G62/(100-BE62)*100</f>
        <v>0</v>
      </c>
      <c r="BE62" s="37">
        <v>0</v>
      </c>
      <c r="BF62" s="37">
        <f>62</f>
        <v>62</v>
      </c>
      <c r="BH62" s="37">
        <f>F62*AO62</f>
        <v>0</v>
      </c>
      <c r="BI62" s="37">
        <f>F62*AP62</f>
        <v>0</v>
      </c>
      <c r="BJ62" s="37">
        <f>F62*G62</f>
        <v>0</v>
      </c>
      <c r="BK62" s="37"/>
      <c r="BL62" s="37">
        <v>41</v>
      </c>
      <c r="BW62" s="37">
        <v>21</v>
      </c>
      <c r="BX62" s="3" t="s">
        <v>343</v>
      </c>
    </row>
    <row r="63" spans="1:76" x14ac:dyDescent="0.25">
      <c r="A63" s="61" t="s">
        <v>4</v>
      </c>
      <c r="B63" s="62" t="s">
        <v>111</v>
      </c>
      <c r="C63" s="343" t="s">
        <v>112</v>
      </c>
      <c r="D63" s="344"/>
      <c r="E63" s="63" t="s">
        <v>81</v>
      </c>
      <c r="F63" s="63" t="s">
        <v>81</v>
      </c>
      <c r="G63" s="64" t="s">
        <v>81</v>
      </c>
      <c r="H63" s="43">
        <f>SUM(H64:H67)</f>
        <v>0</v>
      </c>
      <c r="I63" s="43">
        <f>SUM(I64:I67)</f>
        <v>0</v>
      </c>
      <c r="J63" s="43">
        <f>SUM(J64:J67)</f>
        <v>0</v>
      </c>
      <c r="K63" s="65" t="s">
        <v>4</v>
      </c>
      <c r="AI63" s="49" t="s">
        <v>89</v>
      </c>
      <c r="AS63" s="43">
        <f>SUM(AJ64:AJ67)</f>
        <v>0</v>
      </c>
      <c r="AT63" s="43">
        <f>SUM(AK64:AK67)</f>
        <v>0</v>
      </c>
      <c r="AU63" s="43">
        <f>SUM(AL64:AL67)</f>
        <v>0</v>
      </c>
    </row>
    <row r="64" spans="1:76" x14ac:dyDescent="0.25">
      <c r="A64" s="1" t="s">
        <v>109</v>
      </c>
      <c r="B64" s="2" t="s">
        <v>346</v>
      </c>
      <c r="C64" s="258" t="s">
        <v>347</v>
      </c>
      <c r="D64" s="259"/>
      <c r="E64" s="2" t="s">
        <v>216</v>
      </c>
      <c r="F64" s="37">
        <v>0.497</v>
      </c>
      <c r="G64" s="66">
        <v>0</v>
      </c>
      <c r="H64" s="37">
        <f>F64*AO64</f>
        <v>0</v>
      </c>
      <c r="I64" s="37">
        <f>F64*AP64</f>
        <v>0</v>
      </c>
      <c r="J64" s="37">
        <f>F64*G64</f>
        <v>0</v>
      </c>
      <c r="K64" s="67" t="s">
        <v>217</v>
      </c>
      <c r="Z64" s="37">
        <f>IF(AQ64="5",BJ64,0)</f>
        <v>0</v>
      </c>
      <c r="AB64" s="37">
        <f>IF(AQ64="1",BH64,0)</f>
        <v>0</v>
      </c>
      <c r="AC64" s="37">
        <f>IF(AQ64="1",BI64,0)</f>
        <v>0</v>
      </c>
      <c r="AD64" s="37">
        <f>IF(AQ64="7",BH64,0)</f>
        <v>0</v>
      </c>
      <c r="AE64" s="37">
        <f>IF(AQ64="7",BI64,0)</f>
        <v>0</v>
      </c>
      <c r="AF64" s="37">
        <f>IF(AQ64="2",BH64,0)</f>
        <v>0</v>
      </c>
      <c r="AG64" s="37">
        <f>IF(AQ64="2",BI64,0)</f>
        <v>0</v>
      </c>
      <c r="AH64" s="37">
        <f>IF(AQ64="0",BJ64,0)</f>
        <v>0</v>
      </c>
      <c r="AI64" s="49" t="s">
        <v>89</v>
      </c>
      <c r="AJ64" s="37">
        <f>IF(AN64=0,J64,0)</f>
        <v>0</v>
      </c>
      <c r="AK64" s="37">
        <f>IF(AN64=12,J64,0)</f>
        <v>0</v>
      </c>
      <c r="AL64" s="37">
        <f>IF(AN64=21,J64,0)</f>
        <v>0</v>
      </c>
      <c r="AN64" s="37">
        <v>21</v>
      </c>
      <c r="AO64" s="37">
        <f>G64*0.650573984</f>
        <v>0</v>
      </c>
      <c r="AP64" s="37">
        <f>G64*(1-0.650573984)</f>
        <v>0</v>
      </c>
      <c r="AQ64" s="68" t="s">
        <v>213</v>
      </c>
      <c r="AV64" s="37">
        <f>AW64+AX64</f>
        <v>0</v>
      </c>
      <c r="AW64" s="37">
        <f>F64*AO64</f>
        <v>0</v>
      </c>
      <c r="AX64" s="37">
        <f>F64*AP64</f>
        <v>0</v>
      </c>
      <c r="AY64" s="68" t="s">
        <v>348</v>
      </c>
      <c r="AZ64" s="68" t="s">
        <v>345</v>
      </c>
      <c r="BA64" s="49" t="s">
        <v>220</v>
      </c>
      <c r="BC64" s="37">
        <f>AW64+AX64</f>
        <v>0</v>
      </c>
      <c r="BD64" s="37">
        <f>G64/(100-BE64)*100</f>
        <v>0</v>
      </c>
      <c r="BE64" s="37">
        <v>0</v>
      </c>
      <c r="BF64" s="37">
        <f>64</f>
        <v>64</v>
      </c>
      <c r="BH64" s="37">
        <f>F64*AO64</f>
        <v>0</v>
      </c>
      <c r="BI64" s="37">
        <f>F64*AP64</f>
        <v>0</v>
      </c>
      <c r="BJ64" s="37">
        <f>F64*G64</f>
        <v>0</v>
      </c>
      <c r="BK64" s="37"/>
      <c r="BL64" s="37">
        <v>43</v>
      </c>
      <c r="BW64" s="37">
        <v>21</v>
      </c>
      <c r="BX64" s="3" t="s">
        <v>347</v>
      </c>
    </row>
    <row r="65" spans="1:76" x14ac:dyDescent="0.25">
      <c r="A65" s="1" t="s">
        <v>349</v>
      </c>
      <c r="B65" s="2" t="s">
        <v>350</v>
      </c>
      <c r="C65" s="258" t="s">
        <v>351</v>
      </c>
      <c r="D65" s="259"/>
      <c r="E65" s="2" t="s">
        <v>251</v>
      </c>
      <c r="F65" s="37">
        <v>1.518</v>
      </c>
      <c r="G65" s="66">
        <v>0</v>
      </c>
      <c r="H65" s="37">
        <f>F65*AO65</f>
        <v>0</v>
      </c>
      <c r="I65" s="37">
        <f>F65*AP65</f>
        <v>0</v>
      </c>
      <c r="J65" s="37">
        <f>F65*G65</f>
        <v>0</v>
      </c>
      <c r="K65" s="67" t="s">
        <v>217</v>
      </c>
      <c r="Z65" s="37">
        <f>IF(AQ65="5",BJ65,0)</f>
        <v>0</v>
      </c>
      <c r="AB65" s="37">
        <f>IF(AQ65="1",BH65,0)</f>
        <v>0</v>
      </c>
      <c r="AC65" s="37">
        <f>IF(AQ65="1",BI65,0)</f>
        <v>0</v>
      </c>
      <c r="AD65" s="37">
        <f>IF(AQ65="7",BH65,0)</f>
        <v>0</v>
      </c>
      <c r="AE65" s="37">
        <f>IF(AQ65="7",BI65,0)</f>
        <v>0</v>
      </c>
      <c r="AF65" s="37">
        <f>IF(AQ65="2",BH65,0)</f>
        <v>0</v>
      </c>
      <c r="AG65" s="37">
        <f>IF(AQ65="2",BI65,0)</f>
        <v>0</v>
      </c>
      <c r="AH65" s="37">
        <f>IF(AQ65="0",BJ65,0)</f>
        <v>0</v>
      </c>
      <c r="AI65" s="49" t="s">
        <v>89</v>
      </c>
      <c r="AJ65" s="37">
        <f>IF(AN65=0,J65,0)</f>
        <v>0</v>
      </c>
      <c r="AK65" s="37">
        <f>IF(AN65=12,J65,0)</f>
        <v>0</v>
      </c>
      <c r="AL65" s="37">
        <f>IF(AN65=21,J65,0)</f>
        <v>0</v>
      </c>
      <c r="AN65" s="37">
        <v>21</v>
      </c>
      <c r="AO65" s="37">
        <f>G65*0.623757459</f>
        <v>0</v>
      </c>
      <c r="AP65" s="37">
        <f>G65*(1-0.623757459)</f>
        <v>0</v>
      </c>
      <c r="AQ65" s="68" t="s">
        <v>213</v>
      </c>
      <c r="AV65" s="37">
        <f>AW65+AX65</f>
        <v>0</v>
      </c>
      <c r="AW65" s="37">
        <f>F65*AO65</f>
        <v>0</v>
      </c>
      <c r="AX65" s="37">
        <f>F65*AP65</f>
        <v>0</v>
      </c>
      <c r="AY65" s="68" t="s">
        <v>348</v>
      </c>
      <c r="AZ65" s="68" t="s">
        <v>345</v>
      </c>
      <c r="BA65" s="49" t="s">
        <v>220</v>
      </c>
      <c r="BC65" s="37">
        <f>AW65+AX65</f>
        <v>0</v>
      </c>
      <c r="BD65" s="37">
        <f>G65/(100-BE65)*100</f>
        <v>0</v>
      </c>
      <c r="BE65" s="37">
        <v>0</v>
      </c>
      <c r="BF65" s="37">
        <f>65</f>
        <v>65</v>
      </c>
      <c r="BH65" s="37">
        <f>F65*AO65</f>
        <v>0</v>
      </c>
      <c r="BI65" s="37">
        <f>F65*AP65</f>
        <v>0</v>
      </c>
      <c r="BJ65" s="37">
        <f>F65*G65</f>
        <v>0</v>
      </c>
      <c r="BK65" s="37"/>
      <c r="BL65" s="37">
        <v>43</v>
      </c>
      <c r="BW65" s="37">
        <v>21</v>
      </c>
      <c r="BX65" s="3" t="s">
        <v>351</v>
      </c>
    </row>
    <row r="66" spans="1:76" x14ac:dyDescent="0.25">
      <c r="A66" s="1" t="s">
        <v>111</v>
      </c>
      <c r="B66" s="2" t="s">
        <v>352</v>
      </c>
      <c r="C66" s="258" t="s">
        <v>353</v>
      </c>
      <c r="D66" s="259"/>
      <c r="E66" s="2" t="s">
        <v>251</v>
      </c>
      <c r="F66" s="37">
        <v>1.518</v>
      </c>
      <c r="G66" s="66">
        <v>0</v>
      </c>
      <c r="H66" s="37">
        <f>F66*AO66</f>
        <v>0</v>
      </c>
      <c r="I66" s="37">
        <f>F66*AP66</f>
        <v>0</v>
      </c>
      <c r="J66" s="37">
        <f>F66*G66</f>
        <v>0</v>
      </c>
      <c r="K66" s="67" t="s">
        <v>217</v>
      </c>
      <c r="Z66" s="37">
        <f>IF(AQ66="5",BJ66,0)</f>
        <v>0</v>
      </c>
      <c r="AB66" s="37">
        <f>IF(AQ66="1",BH66,0)</f>
        <v>0</v>
      </c>
      <c r="AC66" s="37">
        <f>IF(AQ66="1",BI66,0)</f>
        <v>0</v>
      </c>
      <c r="AD66" s="37">
        <f>IF(AQ66="7",BH66,0)</f>
        <v>0</v>
      </c>
      <c r="AE66" s="37">
        <f>IF(AQ66="7",BI66,0)</f>
        <v>0</v>
      </c>
      <c r="AF66" s="37">
        <f>IF(AQ66="2",BH66,0)</f>
        <v>0</v>
      </c>
      <c r="AG66" s="37">
        <f>IF(AQ66="2",BI66,0)</f>
        <v>0</v>
      </c>
      <c r="AH66" s="37">
        <f>IF(AQ66="0",BJ66,0)</f>
        <v>0</v>
      </c>
      <c r="AI66" s="49" t="s">
        <v>89</v>
      </c>
      <c r="AJ66" s="37">
        <f>IF(AN66=0,J66,0)</f>
        <v>0</v>
      </c>
      <c r="AK66" s="37">
        <f>IF(AN66=12,J66,0)</f>
        <v>0</v>
      </c>
      <c r="AL66" s="37">
        <f>IF(AN66=21,J66,0)</f>
        <v>0</v>
      </c>
      <c r="AN66" s="37">
        <v>21</v>
      </c>
      <c r="AO66" s="37">
        <f>G66*0</f>
        <v>0</v>
      </c>
      <c r="AP66" s="37">
        <f>G66*(1-0)</f>
        <v>0</v>
      </c>
      <c r="AQ66" s="68" t="s">
        <v>213</v>
      </c>
      <c r="AV66" s="37">
        <f>AW66+AX66</f>
        <v>0</v>
      </c>
      <c r="AW66" s="37">
        <f>F66*AO66</f>
        <v>0</v>
      </c>
      <c r="AX66" s="37">
        <f>F66*AP66</f>
        <v>0</v>
      </c>
      <c r="AY66" s="68" t="s">
        <v>348</v>
      </c>
      <c r="AZ66" s="68" t="s">
        <v>345</v>
      </c>
      <c r="BA66" s="49" t="s">
        <v>220</v>
      </c>
      <c r="BC66" s="37">
        <f>AW66+AX66</f>
        <v>0</v>
      </c>
      <c r="BD66" s="37">
        <f>G66/(100-BE66)*100</f>
        <v>0</v>
      </c>
      <c r="BE66" s="37">
        <v>0</v>
      </c>
      <c r="BF66" s="37">
        <f>66</f>
        <v>66</v>
      </c>
      <c r="BH66" s="37">
        <f>F66*AO66</f>
        <v>0</v>
      </c>
      <c r="BI66" s="37">
        <f>F66*AP66</f>
        <v>0</v>
      </c>
      <c r="BJ66" s="37">
        <f>F66*G66</f>
        <v>0</v>
      </c>
      <c r="BK66" s="37"/>
      <c r="BL66" s="37">
        <v>43</v>
      </c>
      <c r="BW66" s="37">
        <v>21</v>
      </c>
      <c r="BX66" s="3" t="s">
        <v>353</v>
      </c>
    </row>
    <row r="67" spans="1:76" x14ac:dyDescent="0.25">
      <c r="A67" s="1" t="s">
        <v>354</v>
      </c>
      <c r="B67" s="2" t="s">
        <v>355</v>
      </c>
      <c r="C67" s="258" t="s">
        <v>356</v>
      </c>
      <c r="D67" s="259"/>
      <c r="E67" s="2" t="s">
        <v>266</v>
      </c>
      <c r="F67" s="37">
        <v>1.6459999999999999E-2</v>
      </c>
      <c r="G67" s="66">
        <v>0</v>
      </c>
      <c r="H67" s="37">
        <f>F67*AO67</f>
        <v>0</v>
      </c>
      <c r="I67" s="37">
        <f>F67*AP67</f>
        <v>0</v>
      </c>
      <c r="J67" s="37">
        <f>F67*G67</f>
        <v>0</v>
      </c>
      <c r="K67" s="67" t="s">
        <v>357</v>
      </c>
      <c r="Z67" s="37">
        <f>IF(AQ67="5",BJ67,0)</f>
        <v>0</v>
      </c>
      <c r="AB67" s="37">
        <f>IF(AQ67="1",BH67,0)</f>
        <v>0</v>
      </c>
      <c r="AC67" s="37">
        <f>IF(AQ67="1",BI67,0)</f>
        <v>0</v>
      </c>
      <c r="AD67" s="37">
        <f>IF(AQ67="7",BH67,0)</f>
        <v>0</v>
      </c>
      <c r="AE67" s="37">
        <f>IF(AQ67="7",BI67,0)</f>
        <v>0</v>
      </c>
      <c r="AF67" s="37">
        <f>IF(AQ67="2",BH67,0)</f>
        <v>0</v>
      </c>
      <c r="AG67" s="37">
        <f>IF(AQ67="2",BI67,0)</f>
        <v>0</v>
      </c>
      <c r="AH67" s="37">
        <f>IF(AQ67="0",BJ67,0)</f>
        <v>0</v>
      </c>
      <c r="AI67" s="49" t="s">
        <v>89</v>
      </c>
      <c r="AJ67" s="37">
        <f>IF(AN67=0,J67,0)</f>
        <v>0</v>
      </c>
      <c r="AK67" s="37">
        <f>IF(AN67=12,J67,0)</f>
        <v>0</v>
      </c>
      <c r="AL67" s="37">
        <f>IF(AN67=21,J67,0)</f>
        <v>0</v>
      </c>
      <c r="AN67" s="37">
        <v>21</v>
      </c>
      <c r="AO67" s="37">
        <f>G67*0.721856372</f>
        <v>0</v>
      </c>
      <c r="AP67" s="37">
        <f>G67*(1-0.721856372)</f>
        <v>0</v>
      </c>
      <c r="AQ67" s="68" t="s">
        <v>213</v>
      </c>
      <c r="AV67" s="37">
        <f>AW67+AX67</f>
        <v>0</v>
      </c>
      <c r="AW67" s="37">
        <f>F67*AO67</f>
        <v>0</v>
      </c>
      <c r="AX67" s="37">
        <f>F67*AP67</f>
        <v>0</v>
      </c>
      <c r="AY67" s="68" t="s">
        <v>348</v>
      </c>
      <c r="AZ67" s="68" t="s">
        <v>345</v>
      </c>
      <c r="BA67" s="49" t="s">
        <v>220</v>
      </c>
      <c r="BC67" s="37">
        <f>AW67+AX67</f>
        <v>0</v>
      </c>
      <c r="BD67" s="37">
        <f>G67/(100-BE67)*100</f>
        <v>0</v>
      </c>
      <c r="BE67" s="37">
        <v>0</v>
      </c>
      <c r="BF67" s="37">
        <f>67</f>
        <v>67</v>
      </c>
      <c r="BH67" s="37">
        <f>F67*AO67</f>
        <v>0</v>
      </c>
      <c r="BI67" s="37">
        <f>F67*AP67</f>
        <v>0</v>
      </c>
      <c r="BJ67" s="37">
        <f>F67*G67</f>
        <v>0</v>
      </c>
      <c r="BK67" s="37"/>
      <c r="BL67" s="37">
        <v>43</v>
      </c>
      <c r="BW67" s="37">
        <v>21</v>
      </c>
      <c r="BX67" s="3" t="s">
        <v>356</v>
      </c>
    </row>
    <row r="68" spans="1:76" x14ac:dyDescent="0.25">
      <c r="A68" s="61" t="s">
        <v>4</v>
      </c>
      <c r="B68" s="62" t="s">
        <v>113</v>
      </c>
      <c r="C68" s="343" t="s">
        <v>114</v>
      </c>
      <c r="D68" s="344"/>
      <c r="E68" s="63" t="s">
        <v>81</v>
      </c>
      <c r="F68" s="63" t="s">
        <v>81</v>
      </c>
      <c r="G68" s="64" t="s">
        <v>81</v>
      </c>
      <c r="H68" s="43">
        <f>SUM(H69:H73)</f>
        <v>0</v>
      </c>
      <c r="I68" s="43">
        <f>SUM(I69:I73)</f>
        <v>0</v>
      </c>
      <c r="J68" s="43">
        <f>SUM(J69:J73)</f>
        <v>0</v>
      </c>
      <c r="K68" s="65" t="s">
        <v>4</v>
      </c>
      <c r="AI68" s="49" t="s">
        <v>89</v>
      </c>
      <c r="AS68" s="43">
        <f>SUM(AJ69:AJ73)</f>
        <v>0</v>
      </c>
      <c r="AT68" s="43">
        <f>SUM(AK69:AK73)</f>
        <v>0</v>
      </c>
      <c r="AU68" s="43">
        <f>SUM(AL69:AL73)</f>
        <v>0</v>
      </c>
    </row>
    <row r="69" spans="1:76" x14ac:dyDescent="0.25">
      <c r="A69" s="1" t="s">
        <v>358</v>
      </c>
      <c r="B69" s="2" t="s">
        <v>359</v>
      </c>
      <c r="C69" s="258" t="s">
        <v>360</v>
      </c>
      <c r="D69" s="259"/>
      <c r="E69" s="2" t="s">
        <v>251</v>
      </c>
      <c r="F69" s="37">
        <v>40.630000000000003</v>
      </c>
      <c r="G69" s="66">
        <v>0</v>
      </c>
      <c r="H69" s="37">
        <f>F69*AO69</f>
        <v>0</v>
      </c>
      <c r="I69" s="37">
        <f>F69*AP69</f>
        <v>0</v>
      </c>
      <c r="J69" s="37">
        <f>F69*G69</f>
        <v>0</v>
      </c>
      <c r="K69" s="67" t="s">
        <v>217</v>
      </c>
      <c r="Z69" s="37">
        <f>IF(AQ69="5",BJ69,0)</f>
        <v>0</v>
      </c>
      <c r="AB69" s="37">
        <f>IF(AQ69="1",BH69,0)</f>
        <v>0</v>
      </c>
      <c r="AC69" s="37">
        <f>IF(AQ69="1",BI69,0)</f>
        <v>0</v>
      </c>
      <c r="AD69" s="37">
        <f>IF(AQ69="7",BH69,0)</f>
        <v>0</v>
      </c>
      <c r="AE69" s="37">
        <f>IF(AQ69="7",BI69,0)</f>
        <v>0</v>
      </c>
      <c r="AF69" s="37">
        <f>IF(AQ69="2",BH69,0)</f>
        <v>0</v>
      </c>
      <c r="AG69" s="37">
        <f>IF(AQ69="2",BI69,0)</f>
        <v>0</v>
      </c>
      <c r="AH69" s="37">
        <f>IF(AQ69="0",BJ69,0)</f>
        <v>0</v>
      </c>
      <c r="AI69" s="49" t="s">
        <v>89</v>
      </c>
      <c r="AJ69" s="37">
        <f>IF(AN69=0,J69,0)</f>
        <v>0</v>
      </c>
      <c r="AK69" s="37">
        <f>IF(AN69=12,J69,0)</f>
        <v>0</v>
      </c>
      <c r="AL69" s="37">
        <f>IF(AN69=21,J69,0)</f>
        <v>0</v>
      </c>
      <c r="AN69" s="37">
        <v>21</v>
      </c>
      <c r="AO69" s="37">
        <f>G69*0.588037756</f>
        <v>0</v>
      </c>
      <c r="AP69" s="37">
        <f>G69*(1-0.588037756)</f>
        <v>0</v>
      </c>
      <c r="AQ69" s="68" t="s">
        <v>213</v>
      </c>
      <c r="AV69" s="37">
        <f>AW69+AX69</f>
        <v>0</v>
      </c>
      <c r="AW69" s="37">
        <f>F69*AO69</f>
        <v>0</v>
      </c>
      <c r="AX69" s="37">
        <f>F69*AP69</f>
        <v>0</v>
      </c>
      <c r="AY69" s="68" t="s">
        <v>361</v>
      </c>
      <c r="AZ69" s="68" t="s">
        <v>362</v>
      </c>
      <c r="BA69" s="49" t="s">
        <v>220</v>
      </c>
      <c r="BC69" s="37">
        <f>AW69+AX69</f>
        <v>0</v>
      </c>
      <c r="BD69" s="37">
        <f>G69/(100-BE69)*100</f>
        <v>0</v>
      </c>
      <c r="BE69" s="37">
        <v>0</v>
      </c>
      <c r="BF69" s="37">
        <f>69</f>
        <v>69</v>
      </c>
      <c r="BH69" s="37">
        <f>F69*AO69</f>
        <v>0</v>
      </c>
      <c r="BI69" s="37">
        <f>F69*AP69</f>
        <v>0</v>
      </c>
      <c r="BJ69" s="37">
        <f>F69*G69</f>
        <v>0</v>
      </c>
      <c r="BK69" s="37"/>
      <c r="BL69" s="37">
        <v>56</v>
      </c>
      <c r="BW69" s="37">
        <v>21</v>
      </c>
      <c r="BX69" s="3" t="s">
        <v>360</v>
      </c>
    </row>
    <row r="70" spans="1:76" x14ac:dyDescent="0.25">
      <c r="A70" s="1" t="s">
        <v>363</v>
      </c>
      <c r="B70" s="2" t="s">
        <v>364</v>
      </c>
      <c r="C70" s="258" t="s">
        <v>365</v>
      </c>
      <c r="D70" s="259"/>
      <c r="E70" s="2" t="s">
        <v>251</v>
      </c>
      <c r="F70" s="37">
        <v>40.630000000000003</v>
      </c>
      <c r="G70" s="66">
        <v>0</v>
      </c>
      <c r="H70" s="37">
        <f>F70*AO70</f>
        <v>0</v>
      </c>
      <c r="I70" s="37">
        <f>F70*AP70</f>
        <v>0</v>
      </c>
      <c r="J70" s="37">
        <f>F70*G70</f>
        <v>0</v>
      </c>
      <c r="K70" s="67" t="s">
        <v>217</v>
      </c>
      <c r="Z70" s="37">
        <f>IF(AQ70="5",BJ70,0)</f>
        <v>0</v>
      </c>
      <c r="AB70" s="37">
        <f>IF(AQ70="1",BH70,0)</f>
        <v>0</v>
      </c>
      <c r="AC70" s="37">
        <f>IF(AQ70="1",BI70,0)</f>
        <v>0</v>
      </c>
      <c r="AD70" s="37">
        <f>IF(AQ70="7",BH70,0)</f>
        <v>0</v>
      </c>
      <c r="AE70" s="37">
        <f>IF(AQ70="7",BI70,0)</f>
        <v>0</v>
      </c>
      <c r="AF70" s="37">
        <f>IF(AQ70="2",BH70,0)</f>
        <v>0</v>
      </c>
      <c r="AG70" s="37">
        <f>IF(AQ70="2",BI70,0)</f>
        <v>0</v>
      </c>
      <c r="AH70" s="37">
        <f>IF(AQ70="0",BJ70,0)</f>
        <v>0</v>
      </c>
      <c r="AI70" s="49" t="s">
        <v>89</v>
      </c>
      <c r="AJ70" s="37">
        <f>IF(AN70=0,J70,0)</f>
        <v>0</v>
      </c>
      <c r="AK70" s="37">
        <f>IF(AN70=12,J70,0)</f>
        <v>0</v>
      </c>
      <c r="AL70" s="37">
        <f>IF(AN70=21,J70,0)</f>
        <v>0</v>
      </c>
      <c r="AN70" s="37">
        <v>21</v>
      </c>
      <c r="AO70" s="37">
        <f>G70*0.678510298</f>
        <v>0</v>
      </c>
      <c r="AP70" s="37">
        <f>G70*(1-0.678510298)</f>
        <v>0</v>
      </c>
      <c r="AQ70" s="68" t="s">
        <v>213</v>
      </c>
      <c r="AV70" s="37">
        <f>AW70+AX70</f>
        <v>0</v>
      </c>
      <c r="AW70" s="37">
        <f>F70*AO70</f>
        <v>0</v>
      </c>
      <c r="AX70" s="37">
        <f>F70*AP70</f>
        <v>0</v>
      </c>
      <c r="AY70" s="68" t="s">
        <v>361</v>
      </c>
      <c r="AZ70" s="68" t="s">
        <v>362</v>
      </c>
      <c r="BA70" s="49" t="s">
        <v>220</v>
      </c>
      <c r="BC70" s="37">
        <f>AW70+AX70</f>
        <v>0</v>
      </c>
      <c r="BD70" s="37">
        <f>G70/(100-BE70)*100</f>
        <v>0</v>
      </c>
      <c r="BE70" s="37">
        <v>0</v>
      </c>
      <c r="BF70" s="37">
        <f>70</f>
        <v>70</v>
      </c>
      <c r="BH70" s="37">
        <f>F70*AO70</f>
        <v>0</v>
      </c>
      <c r="BI70" s="37">
        <f>F70*AP70</f>
        <v>0</v>
      </c>
      <c r="BJ70" s="37">
        <f>F70*G70</f>
        <v>0</v>
      </c>
      <c r="BK70" s="37"/>
      <c r="BL70" s="37">
        <v>56</v>
      </c>
      <c r="BW70" s="37">
        <v>21</v>
      </c>
      <c r="BX70" s="3" t="s">
        <v>365</v>
      </c>
    </row>
    <row r="71" spans="1:76" x14ac:dyDescent="0.25">
      <c r="A71" s="1" t="s">
        <v>366</v>
      </c>
      <c r="B71" s="2" t="s">
        <v>367</v>
      </c>
      <c r="C71" s="258" t="s">
        <v>368</v>
      </c>
      <c r="D71" s="259"/>
      <c r="E71" s="2" t="s">
        <v>251</v>
      </c>
      <c r="F71" s="37">
        <v>4.8600000000000003</v>
      </c>
      <c r="G71" s="66">
        <v>0</v>
      </c>
      <c r="H71" s="37">
        <f>F71*AO71</f>
        <v>0</v>
      </c>
      <c r="I71" s="37">
        <f>F71*AP71</f>
        <v>0</v>
      </c>
      <c r="J71" s="37">
        <f>F71*G71</f>
        <v>0</v>
      </c>
      <c r="K71" s="67" t="s">
        <v>217</v>
      </c>
      <c r="Z71" s="37">
        <f>IF(AQ71="5",BJ71,0)</f>
        <v>0</v>
      </c>
      <c r="AB71" s="37">
        <f>IF(AQ71="1",BH71,0)</f>
        <v>0</v>
      </c>
      <c r="AC71" s="37">
        <f>IF(AQ71="1",BI71,0)</f>
        <v>0</v>
      </c>
      <c r="AD71" s="37">
        <f>IF(AQ71="7",BH71,0)</f>
        <v>0</v>
      </c>
      <c r="AE71" s="37">
        <f>IF(AQ71="7",BI71,0)</f>
        <v>0</v>
      </c>
      <c r="AF71" s="37">
        <f>IF(AQ71="2",BH71,0)</f>
        <v>0</v>
      </c>
      <c r="AG71" s="37">
        <f>IF(AQ71="2",BI71,0)</f>
        <v>0</v>
      </c>
      <c r="AH71" s="37">
        <f>IF(AQ71="0",BJ71,0)</f>
        <v>0</v>
      </c>
      <c r="AI71" s="49" t="s">
        <v>89</v>
      </c>
      <c r="AJ71" s="37">
        <f>IF(AN71=0,J71,0)</f>
        <v>0</v>
      </c>
      <c r="AK71" s="37">
        <f>IF(AN71=12,J71,0)</f>
        <v>0</v>
      </c>
      <c r="AL71" s="37">
        <f>IF(AN71=21,J71,0)</f>
        <v>0</v>
      </c>
      <c r="AN71" s="37">
        <v>21</v>
      </c>
      <c r="AO71" s="37">
        <f>G71*0.821869159</f>
        <v>0</v>
      </c>
      <c r="AP71" s="37">
        <f>G71*(1-0.821869159)</f>
        <v>0</v>
      </c>
      <c r="AQ71" s="68" t="s">
        <v>213</v>
      </c>
      <c r="AV71" s="37">
        <f>AW71+AX71</f>
        <v>0</v>
      </c>
      <c r="AW71" s="37">
        <f>F71*AO71</f>
        <v>0</v>
      </c>
      <c r="AX71" s="37">
        <f>F71*AP71</f>
        <v>0</v>
      </c>
      <c r="AY71" s="68" t="s">
        <v>361</v>
      </c>
      <c r="AZ71" s="68" t="s">
        <v>362</v>
      </c>
      <c r="BA71" s="49" t="s">
        <v>220</v>
      </c>
      <c r="BC71" s="37">
        <f>AW71+AX71</f>
        <v>0</v>
      </c>
      <c r="BD71" s="37">
        <f>G71/(100-BE71)*100</f>
        <v>0</v>
      </c>
      <c r="BE71" s="37">
        <v>0</v>
      </c>
      <c r="BF71" s="37">
        <f>71</f>
        <v>71</v>
      </c>
      <c r="BH71" s="37">
        <f>F71*AO71</f>
        <v>0</v>
      </c>
      <c r="BI71" s="37">
        <f>F71*AP71</f>
        <v>0</v>
      </c>
      <c r="BJ71" s="37">
        <f>F71*G71</f>
        <v>0</v>
      </c>
      <c r="BK71" s="37"/>
      <c r="BL71" s="37">
        <v>56</v>
      </c>
      <c r="BW71" s="37">
        <v>21</v>
      </c>
      <c r="BX71" s="3" t="s">
        <v>368</v>
      </c>
    </row>
    <row r="72" spans="1:76" x14ac:dyDescent="0.25">
      <c r="A72" s="1" t="s">
        <v>369</v>
      </c>
      <c r="B72" s="2" t="s">
        <v>370</v>
      </c>
      <c r="C72" s="258" t="s">
        <v>371</v>
      </c>
      <c r="D72" s="259"/>
      <c r="E72" s="2" t="s">
        <v>251</v>
      </c>
      <c r="F72" s="37">
        <v>35.770000000000003</v>
      </c>
      <c r="G72" s="66">
        <v>0</v>
      </c>
      <c r="H72" s="37">
        <f>F72*AO72</f>
        <v>0</v>
      </c>
      <c r="I72" s="37">
        <f>F72*AP72</f>
        <v>0</v>
      </c>
      <c r="J72" s="37">
        <f>F72*G72</f>
        <v>0</v>
      </c>
      <c r="K72" s="67" t="s">
        <v>217</v>
      </c>
      <c r="Z72" s="37">
        <f>IF(AQ72="5",BJ72,0)</f>
        <v>0</v>
      </c>
      <c r="AB72" s="37">
        <f>IF(AQ72="1",BH72,0)</f>
        <v>0</v>
      </c>
      <c r="AC72" s="37">
        <f>IF(AQ72="1",BI72,0)</f>
        <v>0</v>
      </c>
      <c r="AD72" s="37">
        <f>IF(AQ72="7",BH72,0)</f>
        <v>0</v>
      </c>
      <c r="AE72" s="37">
        <f>IF(AQ72="7",BI72,0)</f>
        <v>0</v>
      </c>
      <c r="AF72" s="37">
        <f>IF(AQ72="2",BH72,0)</f>
        <v>0</v>
      </c>
      <c r="AG72" s="37">
        <f>IF(AQ72="2",BI72,0)</f>
        <v>0</v>
      </c>
      <c r="AH72" s="37">
        <f>IF(AQ72="0",BJ72,0)</f>
        <v>0</v>
      </c>
      <c r="AI72" s="49" t="s">
        <v>89</v>
      </c>
      <c r="AJ72" s="37">
        <f>IF(AN72=0,J72,0)</f>
        <v>0</v>
      </c>
      <c r="AK72" s="37">
        <f>IF(AN72=12,J72,0)</f>
        <v>0</v>
      </c>
      <c r="AL72" s="37">
        <f>IF(AN72=21,J72,0)</f>
        <v>0</v>
      </c>
      <c r="AN72" s="37">
        <v>21</v>
      </c>
      <c r="AO72" s="37">
        <f>G72*0.876315746</f>
        <v>0</v>
      </c>
      <c r="AP72" s="37">
        <f>G72*(1-0.876315746)</f>
        <v>0</v>
      </c>
      <c r="AQ72" s="68" t="s">
        <v>213</v>
      </c>
      <c r="AV72" s="37">
        <f>AW72+AX72</f>
        <v>0</v>
      </c>
      <c r="AW72" s="37">
        <f>F72*AO72</f>
        <v>0</v>
      </c>
      <c r="AX72" s="37">
        <f>F72*AP72</f>
        <v>0</v>
      </c>
      <c r="AY72" s="68" t="s">
        <v>361</v>
      </c>
      <c r="AZ72" s="68" t="s">
        <v>362</v>
      </c>
      <c r="BA72" s="49" t="s">
        <v>220</v>
      </c>
      <c r="BC72" s="37">
        <f>AW72+AX72</f>
        <v>0</v>
      </c>
      <c r="BD72" s="37">
        <f>G72/(100-BE72)*100</f>
        <v>0</v>
      </c>
      <c r="BE72" s="37">
        <v>0</v>
      </c>
      <c r="BF72" s="37">
        <f>72</f>
        <v>72</v>
      </c>
      <c r="BH72" s="37">
        <f>F72*AO72</f>
        <v>0</v>
      </c>
      <c r="BI72" s="37">
        <f>F72*AP72</f>
        <v>0</v>
      </c>
      <c r="BJ72" s="37">
        <f>F72*G72</f>
        <v>0</v>
      </c>
      <c r="BK72" s="37"/>
      <c r="BL72" s="37">
        <v>56</v>
      </c>
      <c r="BW72" s="37">
        <v>21</v>
      </c>
      <c r="BX72" s="3" t="s">
        <v>371</v>
      </c>
    </row>
    <row r="73" spans="1:76" x14ac:dyDescent="0.25">
      <c r="A73" s="1" t="s">
        <v>372</v>
      </c>
      <c r="B73" s="2" t="s">
        <v>373</v>
      </c>
      <c r="C73" s="258" t="s">
        <v>374</v>
      </c>
      <c r="D73" s="259"/>
      <c r="E73" s="2" t="s">
        <v>251</v>
      </c>
      <c r="F73" s="37">
        <v>35.835999999999999</v>
      </c>
      <c r="G73" s="66">
        <v>0</v>
      </c>
      <c r="H73" s="37">
        <f>F73*AO73</f>
        <v>0</v>
      </c>
      <c r="I73" s="37">
        <f>F73*AP73</f>
        <v>0</v>
      </c>
      <c r="J73" s="37">
        <f>F73*G73</f>
        <v>0</v>
      </c>
      <c r="K73" s="67" t="s">
        <v>217</v>
      </c>
      <c r="Z73" s="37">
        <f>IF(AQ73="5",BJ73,0)</f>
        <v>0</v>
      </c>
      <c r="AB73" s="37">
        <f>IF(AQ73="1",BH73,0)</f>
        <v>0</v>
      </c>
      <c r="AC73" s="37">
        <f>IF(AQ73="1",BI73,0)</f>
        <v>0</v>
      </c>
      <c r="AD73" s="37">
        <f>IF(AQ73="7",BH73,0)</f>
        <v>0</v>
      </c>
      <c r="AE73" s="37">
        <f>IF(AQ73="7",BI73,0)</f>
        <v>0</v>
      </c>
      <c r="AF73" s="37">
        <f>IF(AQ73="2",BH73,0)</f>
        <v>0</v>
      </c>
      <c r="AG73" s="37">
        <f>IF(AQ73="2",BI73,0)</f>
        <v>0</v>
      </c>
      <c r="AH73" s="37">
        <f>IF(AQ73="0",BJ73,0)</f>
        <v>0</v>
      </c>
      <c r="AI73" s="49" t="s">
        <v>89</v>
      </c>
      <c r="AJ73" s="37">
        <f>IF(AN73=0,J73,0)</f>
        <v>0</v>
      </c>
      <c r="AK73" s="37">
        <f>IF(AN73=12,J73,0)</f>
        <v>0</v>
      </c>
      <c r="AL73" s="37">
        <f>IF(AN73=21,J73,0)</f>
        <v>0</v>
      </c>
      <c r="AN73" s="37">
        <v>21</v>
      </c>
      <c r="AO73" s="37">
        <f>G73*0.812074544</f>
        <v>0</v>
      </c>
      <c r="AP73" s="37">
        <f>G73*(1-0.812074544)</f>
        <v>0</v>
      </c>
      <c r="AQ73" s="68" t="s">
        <v>213</v>
      </c>
      <c r="AV73" s="37">
        <f>AW73+AX73</f>
        <v>0</v>
      </c>
      <c r="AW73" s="37">
        <f>F73*AO73</f>
        <v>0</v>
      </c>
      <c r="AX73" s="37">
        <f>F73*AP73</f>
        <v>0</v>
      </c>
      <c r="AY73" s="68" t="s">
        <v>361</v>
      </c>
      <c r="AZ73" s="68" t="s">
        <v>362</v>
      </c>
      <c r="BA73" s="49" t="s">
        <v>220</v>
      </c>
      <c r="BC73" s="37">
        <f>AW73+AX73</f>
        <v>0</v>
      </c>
      <c r="BD73" s="37">
        <f>G73/(100-BE73)*100</f>
        <v>0</v>
      </c>
      <c r="BE73" s="37">
        <v>0</v>
      </c>
      <c r="BF73" s="37">
        <f>73</f>
        <v>73</v>
      </c>
      <c r="BH73" s="37">
        <f>F73*AO73</f>
        <v>0</v>
      </c>
      <c r="BI73" s="37">
        <f>F73*AP73</f>
        <v>0</v>
      </c>
      <c r="BJ73" s="37">
        <f>F73*G73</f>
        <v>0</v>
      </c>
      <c r="BK73" s="37"/>
      <c r="BL73" s="37">
        <v>56</v>
      </c>
      <c r="BW73" s="37">
        <v>21</v>
      </c>
      <c r="BX73" s="3" t="s">
        <v>374</v>
      </c>
    </row>
    <row r="74" spans="1:76" x14ac:dyDescent="0.25">
      <c r="A74" s="61" t="s">
        <v>4</v>
      </c>
      <c r="B74" s="62" t="s">
        <v>115</v>
      </c>
      <c r="C74" s="343" t="s">
        <v>116</v>
      </c>
      <c r="D74" s="344"/>
      <c r="E74" s="63" t="s">
        <v>81</v>
      </c>
      <c r="F74" s="63" t="s">
        <v>81</v>
      </c>
      <c r="G74" s="64" t="s">
        <v>81</v>
      </c>
      <c r="H74" s="43">
        <f>SUM(H75:H82)</f>
        <v>0</v>
      </c>
      <c r="I74" s="43">
        <f>SUM(I75:I82)</f>
        <v>0</v>
      </c>
      <c r="J74" s="43">
        <f>SUM(J75:J82)</f>
        <v>0</v>
      </c>
      <c r="K74" s="65" t="s">
        <v>4</v>
      </c>
      <c r="AI74" s="49" t="s">
        <v>89</v>
      </c>
      <c r="AS74" s="43">
        <f>SUM(AJ75:AJ82)</f>
        <v>0</v>
      </c>
      <c r="AT74" s="43">
        <f>SUM(AK75:AK82)</f>
        <v>0</v>
      </c>
      <c r="AU74" s="43">
        <f>SUM(AL75:AL82)</f>
        <v>0</v>
      </c>
    </row>
    <row r="75" spans="1:76" x14ac:dyDescent="0.25">
      <c r="A75" s="1" t="s">
        <v>375</v>
      </c>
      <c r="B75" s="2" t="s">
        <v>376</v>
      </c>
      <c r="C75" s="258" t="s">
        <v>377</v>
      </c>
      <c r="D75" s="259"/>
      <c r="E75" s="2" t="s">
        <v>251</v>
      </c>
      <c r="F75" s="37">
        <v>4.8600000000000003</v>
      </c>
      <c r="G75" s="66">
        <v>0</v>
      </c>
      <c r="H75" s="37">
        <f t="shared" ref="H75:H82" si="44">F75*AO75</f>
        <v>0</v>
      </c>
      <c r="I75" s="37">
        <f t="shared" ref="I75:I82" si="45">F75*AP75</f>
        <v>0</v>
      </c>
      <c r="J75" s="37">
        <f t="shared" ref="J75:J82" si="46">F75*G75</f>
        <v>0</v>
      </c>
      <c r="K75" s="67" t="s">
        <v>217</v>
      </c>
      <c r="Z75" s="37">
        <f t="shared" ref="Z75:Z82" si="47">IF(AQ75="5",BJ75,0)</f>
        <v>0</v>
      </c>
      <c r="AB75" s="37">
        <f t="shared" ref="AB75:AB82" si="48">IF(AQ75="1",BH75,0)</f>
        <v>0</v>
      </c>
      <c r="AC75" s="37">
        <f t="shared" ref="AC75:AC82" si="49">IF(AQ75="1",BI75,0)</f>
        <v>0</v>
      </c>
      <c r="AD75" s="37">
        <f t="shared" ref="AD75:AD82" si="50">IF(AQ75="7",BH75,0)</f>
        <v>0</v>
      </c>
      <c r="AE75" s="37">
        <f t="shared" ref="AE75:AE82" si="51">IF(AQ75="7",BI75,0)</f>
        <v>0</v>
      </c>
      <c r="AF75" s="37">
        <f t="shared" ref="AF75:AF82" si="52">IF(AQ75="2",BH75,0)</f>
        <v>0</v>
      </c>
      <c r="AG75" s="37">
        <f t="shared" ref="AG75:AG82" si="53">IF(AQ75="2",BI75,0)</f>
        <v>0</v>
      </c>
      <c r="AH75" s="37">
        <f t="shared" ref="AH75:AH82" si="54">IF(AQ75="0",BJ75,0)</f>
        <v>0</v>
      </c>
      <c r="AI75" s="49" t="s">
        <v>89</v>
      </c>
      <c r="AJ75" s="37">
        <f t="shared" ref="AJ75:AJ82" si="55">IF(AN75=0,J75,0)</f>
        <v>0</v>
      </c>
      <c r="AK75" s="37">
        <f t="shared" ref="AK75:AK82" si="56">IF(AN75=12,J75,0)</f>
        <v>0</v>
      </c>
      <c r="AL75" s="37">
        <f t="shared" ref="AL75:AL82" si="57">IF(AN75=21,J75,0)</f>
        <v>0</v>
      </c>
      <c r="AN75" s="37">
        <v>21</v>
      </c>
      <c r="AO75" s="37">
        <f>G75*0.170541401</f>
        <v>0</v>
      </c>
      <c r="AP75" s="37">
        <f>G75*(1-0.170541401)</f>
        <v>0</v>
      </c>
      <c r="AQ75" s="68" t="s">
        <v>213</v>
      </c>
      <c r="AV75" s="37">
        <f t="shared" ref="AV75:AV82" si="58">AW75+AX75</f>
        <v>0</v>
      </c>
      <c r="AW75" s="37">
        <f t="shared" ref="AW75:AW82" si="59">F75*AO75</f>
        <v>0</v>
      </c>
      <c r="AX75" s="37">
        <f t="shared" ref="AX75:AX82" si="60">F75*AP75</f>
        <v>0</v>
      </c>
      <c r="AY75" s="68" t="s">
        <v>378</v>
      </c>
      <c r="AZ75" s="68" t="s">
        <v>362</v>
      </c>
      <c r="BA75" s="49" t="s">
        <v>220</v>
      </c>
      <c r="BC75" s="37">
        <f t="shared" ref="BC75:BC82" si="61">AW75+AX75</f>
        <v>0</v>
      </c>
      <c r="BD75" s="37">
        <f t="shared" ref="BD75:BD82" si="62">G75/(100-BE75)*100</f>
        <v>0</v>
      </c>
      <c r="BE75" s="37">
        <v>0</v>
      </c>
      <c r="BF75" s="37">
        <f>75</f>
        <v>75</v>
      </c>
      <c r="BH75" s="37">
        <f t="shared" ref="BH75:BH82" si="63">F75*AO75</f>
        <v>0</v>
      </c>
      <c r="BI75" s="37">
        <f t="shared" ref="BI75:BI82" si="64">F75*AP75</f>
        <v>0</v>
      </c>
      <c r="BJ75" s="37">
        <f t="shared" ref="BJ75:BJ82" si="65">F75*G75</f>
        <v>0</v>
      </c>
      <c r="BK75" s="37"/>
      <c r="BL75" s="37">
        <v>59</v>
      </c>
      <c r="BW75" s="37">
        <v>21</v>
      </c>
      <c r="BX75" s="3" t="s">
        <v>377</v>
      </c>
    </row>
    <row r="76" spans="1:76" x14ac:dyDescent="0.25">
      <c r="A76" s="1" t="s">
        <v>379</v>
      </c>
      <c r="B76" s="2" t="s">
        <v>380</v>
      </c>
      <c r="C76" s="258" t="s">
        <v>381</v>
      </c>
      <c r="D76" s="259"/>
      <c r="E76" s="2" t="s">
        <v>251</v>
      </c>
      <c r="F76" s="37">
        <v>5.5890000000000004</v>
      </c>
      <c r="G76" s="66">
        <v>0</v>
      </c>
      <c r="H76" s="37">
        <f t="shared" si="44"/>
        <v>0</v>
      </c>
      <c r="I76" s="37">
        <f t="shared" si="45"/>
        <v>0</v>
      </c>
      <c r="J76" s="37">
        <f t="shared" si="46"/>
        <v>0</v>
      </c>
      <c r="K76" s="67" t="s">
        <v>357</v>
      </c>
      <c r="Z76" s="37">
        <f t="shared" si="47"/>
        <v>0</v>
      </c>
      <c r="AB76" s="37">
        <f t="shared" si="48"/>
        <v>0</v>
      </c>
      <c r="AC76" s="37">
        <f t="shared" si="49"/>
        <v>0</v>
      </c>
      <c r="AD76" s="37">
        <f t="shared" si="50"/>
        <v>0</v>
      </c>
      <c r="AE76" s="37">
        <f t="shared" si="51"/>
        <v>0</v>
      </c>
      <c r="AF76" s="37">
        <f t="shared" si="52"/>
        <v>0</v>
      </c>
      <c r="AG76" s="37">
        <f t="shared" si="53"/>
        <v>0</v>
      </c>
      <c r="AH76" s="37">
        <f t="shared" si="54"/>
        <v>0</v>
      </c>
      <c r="AI76" s="49" t="s">
        <v>89</v>
      </c>
      <c r="AJ76" s="37">
        <f t="shared" si="55"/>
        <v>0</v>
      </c>
      <c r="AK76" s="37">
        <f t="shared" si="56"/>
        <v>0</v>
      </c>
      <c r="AL76" s="37">
        <f t="shared" si="57"/>
        <v>0</v>
      </c>
      <c r="AN76" s="37">
        <v>21</v>
      </c>
      <c r="AO76" s="37">
        <f>G76*1</f>
        <v>0</v>
      </c>
      <c r="AP76" s="37">
        <f>G76*(1-1)</f>
        <v>0</v>
      </c>
      <c r="AQ76" s="68" t="s">
        <v>213</v>
      </c>
      <c r="AV76" s="37">
        <f t="shared" si="58"/>
        <v>0</v>
      </c>
      <c r="AW76" s="37">
        <f t="shared" si="59"/>
        <v>0</v>
      </c>
      <c r="AX76" s="37">
        <f t="shared" si="60"/>
        <v>0</v>
      </c>
      <c r="AY76" s="68" t="s">
        <v>378</v>
      </c>
      <c r="AZ76" s="68" t="s">
        <v>362</v>
      </c>
      <c r="BA76" s="49" t="s">
        <v>220</v>
      </c>
      <c r="BC76" s="37">
        <f t="shared" si="61"/>
        <v>0</v>
      </c>
      <c r="BD76" s="37">
        <f t="shared" si="62"/>
        <v>0</v>
      </c>
      <c r="BE76" s="37">
        <v>0</v>
      </c>
      <c r="BF76" s="37">
        <f>76</f>
        <v>76</v>
      </c>
      <c r="BH76" s="37">
        <f t="shared" si="63"/>
        <v>0</v>
      </c>
      <c r="BI76" s="37">
        <f t="shared" si="64"/>
        <v>0</v>
      </c>
      <c r="BJ76" s="37">
        <f t="shared" si="65"/>
        <v>0</v>
      </c>
      <c r="BK76" s="37"/>
      <c r="BL76" s="37">
        <v>59</v>
      </c>
      <c r="BW76" s="37">
        <v>21</v>
      </c>
      <c r="BX76" s="3" t="s">
        <v>381</v>
      </c>
    </row>
    <row r="77" spans="1:76" x14ac:dyDescent="0.25">
      <c r="A77" s="1" t="s">
        <v>382</v>
      </c>
      <c r="B77" s="2" t="s">
        <v>383</v>
      </c>
      <c r="C77" s="258" t="s">
        <v>384</v>
      </c>
      <c r="D77" s="259"/>
      <c r="E77" s="2" t="s">
        <v>251</v>
      </c>
      <c r="F77" s="37">
        <v>4.8600000000000003</v>
      </c>
      <c r="G77" s="66">
        <v>0</v>
      </c>
      <c r="H77" s="37">
        <f t="shared" si="44"/>
        <v>0</v>
      </c>
      <c r="I77" s="37">
        <f t="shared" si="45"/>
        <v>0</v>
      </c>
      <c r="J77" s="37">
        <f t="shared" si="46"/>
        <v>0</v>
      </c>
      <c r="K77" s="67" t="s">
        <v>217</v>
      </c>
      <c r="Z77" s="37">
        <f t="shared" si="47"/>
        <v>0</v>
      </c>
      <c r="AB77" s="37">
        <f t="shared" si="48"/>
        <v>0</v>
      </c>
      <c r="AC77" s="37">
        <f t="shared" si="49"/>
        <v>0</v>
      </c>
      <c r="AD77" s="37">
        <f t="shared" si="50"/>
        <v>0</v>
      </c>
      <c r="AE77" s="37">
        <f t="shared" si="51"/>
        <v>0</v>
      </c>
      <c r="AF77" s="37">
        <f t="shared" si="52"/>
        <v>0</v>
      </c>
      <c r="AG77" s="37">
        <f t="shared" si="53"/>
        <v>0</v>
      </c>
      <c r="AH77" s="37">
        <f t="shared" si="54"/>
        <v>0</v>
      </c>
      <c r="AI77" s="49" t="s">
        <v>89</v>
      </c>
      <c r="AJ77" s="37">
        <f t="shared" si="55"/>
        <v>0</v>
      </c>
      <c r="AK77" s="37">
        <f t="shared" si="56"/>
        <v>0</v>
      </c>
      <c r="AL77" s="37">
        <f t="shared" si="57"/>
        <v>0</v>
      </c>
      <c r="AN77" s="37">
        <v>21</v>
      </c>
      <c r="AO77" s="37">
        <f>G77*0.389021739</f>
        <v>0</v>
      </c>
      <c r="AP77" s="37">
        <f>G77*(1-0.389021739)</f>
        <v>0</v>
      </c>
      <c r="AQ77" s="68" t="s">
        <v>213</v>
      </c>
      <c r="AV77" s="37">
        <f t="shared" si="58"/>
        <v>0</v>
      </c>
      <c r="AW77" s="37">
        <f t="shared" si="59"/>
        <v>0</v>
      </c>
      <c r="AX77" s="37">
        <f t="shared" si="60"/>
        <v>0</v>
      </c>
      <c r="AY77" s="68" t="s">
        <v>378</v>
      </c>
      <c r="AZ77" s="68" t="s">
        <v>362</v>
      </c>
      <c r="BA77" s="49" t="s">
        <v>220</v>
      </c>
      <c r="BC77" s="37">
        <f t="shared" si="61"/>
        <v>0</v>
      </c>
      <c r="BD77" s="37">
        <f t="shared" si="62"/>
        <v>0</v>
      </c>
      <c r="BE77" s="37">
        <v>0</v>
      </c>
      <c r="BF77" s="37">
        <f>77</f>
        <v>77</v>
      </c>
      <c r="BH77" s="37">
        <f t="shared" si="63"/>
        <v>0</v>
      </c>
      <c r="BI77" s="37">
        <f t="shared" si="64"/>
        <v>0</v>
      </c>
      <c r="BJ77" s="37">
        <f t="shared" si="65"/>
        <v>0</v>
      </c>
      <c r="BK77" s="37"/>
      <c r="BL77" s="37">
        <v>59</v>
      </c>
      <c r="BW77" s="37">
        <v>21</v>
      </c>
      <c r="BX77" s="3" t="s">
        <v>384</v>
      </c>
    </row>
    <row r="78" spans="1:76" x14ac:dyDescent="0.25">
      <c r="A78" s="1" t="s">
        <v>385</v>
      </c>
      <c r="B78" s="2" t="s">
        <v>386</v>
      </c>
      <c r="C78" s="258" t="s">
        <v>387</v>
      </c>
      <c r="D78" s="259"/>
      <c r="E78" s="2" t="s">
        <v>313</v>
      </c>
      <c r="F78" s="37">
        <v>6.3</v>
      </c>
      <c r="G78" s="66">
        <v>0</v>
      </c>
      <c r="H78" s="37">
        <f t="shared" si="44"/>
        <v>0</v>
      </c>
      <c r="I78" s="37">
        <f t="shared" si="45"/>
        <v>0</v>
      </c>
      <c r="J78" s="37">
        <f t="shared" si="46"/>
        <v>0</v>
      </c>
      <c r="K78" s="67" t="s">
        <v>217</v>
      </c>
      <c r="Z78" s="37">
        <f t="shared" si="47"/>
        <v>0</v>
      </c>
      <c r="AB78" s="37">
        <f t="shared" si="48"/>
        <v>0</v>
      </c>
      <c r="AC78" s="37">
        <f t="shared" si="49"/>
        <v>0</v>
      </c>
      <c r="AD78" s="37">
        <f t="shared" si="50"/>
        <v>0</v>
      </c>
      <c r="AE78" s="37">
        <f t="shared" si="51"/>
        <v>0</v>
      </c>
      <c r="AF78" s="37">
        <f t="shared" si="52"/>
        <v>0</v>
      </c>
      <c r="AG78" s="37">
        <f t="shared" si="53"/>
        <v>0</v>
      </c>
      <c r="AH78" s="37">
        <f t="shared" si="54"/>
        <v>0</v>
      </c>
      <c r="AI78" s="49" t="s">
        <v>89</v>
      </c>
      <c r="AJ78" s="37">
        <f t="shared" si="55"/>
        <v>0</v>
      </c>
      <c r="AK78" s="37">
        <f t="shared" si="56"/>
        <v>0</v>
      </c>
      <c r="AL78" s="37">
        <f t="shared" si="57"/>
        <v>0</v>
      </c>
      <c r="AN78" s="37">
        <v>21</v>
      </c>
      <c r="AO78" s="37">
        <f>G78*0.053195909</f>
        <v>0</v>
      </c>
      <c r="AP78" s="37">
        <f>G78*(1-0.053195909)</f>
        <v>0</v>
      </c>
      <c r="AQ78" s="68" t="s">
        <v>213</v>
      </c>
      <c r="AV78" s="37">
        <f t="shared" si="58"/>
        <v>0</v>
      </c>
      <c r="AW78" s="37">
        <f t="shared" si="59"/>
        <v>0</v>
      </c>
      <c r="AX78" s="37">
        <f t="shared" si="60"/>
        <v>0</v>
      </c>
      <c r="AY78" s="68" t="s">
        <v>378</v>
      </c>
      <c r="AZ78" s="68" t="s">
        <v>362</v>
      </c>
      <c r="BA78" s="49" t="s">
        <v>220</v>
      </c>
      <c r="BC78" s="37">
        <f t="shared" si="61"/>
        <v>0</v>
      </c>
      <c r="BD78" s="37">
        <f t="shared" si="62"/>
        <v>0</v>
      </c>
      <c r="BE78" s="37">
        <v>0</v>
      </c>
      <c r="BF78" s="37">
        <f>78</f>
        <v>78</v>
      </c>
      <c r="BH78" s="37">
        <f t="shared" si="63"/>
        <v>0</v>
      </c>
      <c r="BI78" s="37">
        <f t="shared" si="64"/>
        <v>0</v>
      </c>
      <c r="BJ78" s="37">
        <f t="shared" si="65"/>
        <v>0</v>
      </c>
      <c r="BK78" s="37"/>
      <c r="BL78" s="37">
        <v>59</v>
      </c>
      <c r="BW78" s="37">
        <v>21</v>
      </c>
      <c r="BX78" s="3" t="s">
        <v>387</v>
      </c>
    </row>
    <row r="79" spans="1:76" ht="25.5" x14ac:dyDescent="0.25">
      <c r="A79" s="1" t="s">
        <v>388</v>
      </c>
      <c r="B79" s="2" t="s">
        <v>389</v>
      </c>
      <c r="C79" s="258" t="s">
        <v>390</v>
      </c>
      <c r="D79" s="259"/>
      <c r="E79" s="2" t="s">
        <v>251</v>
      </c>
      <c r="F79" s="37">
        <v>35.770000000000003</v>
      </c>
      <c r="G79" s="66">
        <v>0</v>
      </c>
      <c r="H79" s="37">
        <f t="shared" si="44"/>
        <v>0</v>
      </c>
      <c r="I79" s="37">
        <f t="shared" si="45"/>
        <v>0</v>
      </c>
      <c r="J79" s="37">
        <f t="shared" si="46"/>
        <v>0</v>
      </c>
      <c r="K79" s="67" t="s">
        <v>217</v>
      </c>
      <c r="Z79" s="37">
        <f t="shared" si="47"/>
        <v>0</v>
      </c>
      <c r="AB79" s="37">
        <f t="shared" si="48"/>
        <v>0</v>
      </c>
      <c r="AC79" s="37">
        <f t="shared" si="49"/>
        <v>0</v>
      </c>
      <c r="AD79" s="37">
        <f t="shared" si="50"/>
        <v>0</v>
      </c>
      <c r="AE79" s="37">
        <f t="shared" si="51"/>
        <v>0</v>
      </c>
      <c r="AF79" s="37">
        <f t="shared" si="52"/>
        <v>0</v>
      </c>
      <c r="AG79" s="37">
        <f t="shared" si="53"/>
        <v>0</v>
      </c>
      <c r="AH79" s="37">
        <f t="shared" si="54"/>
        <v>0</v>
      </c>
      <c r="AI79" s="49" t="s">
        <v>89</v>
      </c>
      <c r="AJ79" s="37">
        <f t="shared" si="55"/>
        <v>0</v>
      </c>
      <c r="AK79" s="37">
        <f t="shared" si="56"/>
        <v>0</v>
      </c>
      <c r="AL79" s="37">
        <f t="shared" si="57"/>
        <v>0</v>
      </c>
      <c r="AN79" s="37">
        <v>21</v>
      </c>
      <c r="AO79" s="37">
        <f>G79*0.071046006</f>
        <v>0</v>
      </c>
      <c r="AP79" s="37">
        <f>G79*(1-0.071046006)</f>
        <v>0</v>
      </c>
      <c r="AQ79" s="68" t="s">
        <v>213</v>
      </c>
      <c r="AV79" s="37">
        <f t="shared" si="58"/>
        <v>0</v>
      </c>
      <c r="AW79" s="37">
        <f t="shared" si="59"/>
        <v>0</v>
      </c>
      <c r="AX79" s="37">
        <f t="shared" si="60"/>
        <v>0</v>
      </c>
      <c r="AY79" s="68" t="s">
        <v>378</v>
      </c>
      <c r="AZ79" s="68" t="s">
        <v>362</v>
      </c>
      <c r="BA79" s="49" t="s">
        <v>220</v>
      </c>
      <c r="BC79" s="37">
        <f t="shared" si="61"/>
        <v>0</v>
      </c>
      <c r="BD79" s="37">
        <f t="shared" si="62"/>
        <v>0</v>
      </c>
      <c r="BE79" s="37">
        <v>0</v>
      </c>
      <c r="BF79" s="37">
        <f>79</f>
        <v>79</v>
      </c>
      <c r="BH79" s="37">
        <f t="shared" si="63"/>
        <v>0</v>
      </c>
      <c r="BI79" s="37">
        <f t="shared" si="64"/>
        <v>0</v>
      </c>
      <c r="BJ79" s="37">
        <f t="shared" si="65"/>
        <v>0</v>
      </c>
      <c r="BK79" s="37"/>
      <c r="BL79" s="37">
        <v>59</v>
      </c>
      <c r="BW79" s="37">
        <v>21</v>
      </c>
      <c r="BX79" s="3" t="s">
        <v>390</v>
      </c>
    </row>
    <row r="80" spans="1:76" x14ac:dyDescent="0.25">
      <c r="A80" s="1" t="s">
        <v>391</v>
      </c>
      <c r="B80" s="2" t="s">
        <v>392</v>
      </c>
      <c r="C80" s="258" t="s">
        <v>393</v>
      </c>
      <c r="D80" s="259"/>
      <c r="E80" s="2" t="s">
        <v>309</v>
      </c>
      <c r="F80" s="37">
        <v>180</v>
      </c>
      <c r="G80" s="66">
        <v>0</v>
      </c>
      <c r="H80" s="37">
        <f t="shared" si="44"/>
        <v>0</v>
      </c>
      <c r="I80" s="37">
        <f t="shared" si="45"/>
        <v>0</v>
      </c>
      <c r="J80" s="37">
        <f t="shared" si="46"/>
        <v>0</v>
      </c>
      <c r="K80" s="67" t="s">
        <v>327</v>
      </c>
      <c r="Z80" s="37">
        <f t="shared" si="47"/>
        <v>0</v>
      </c>
      <c r="AB80" s="37">
        <f t="shared" si="48"/>
        <v>0</v>
      </c>
      <c r="AC80" s="37">
        <f t="shared" si="49"/>
        <v>0</v>
      </c>
      <c r="AD80" s="37">
        <f t="shared" si="50"/>
        <v>0</v>
      </c>
      <c r="AE80" s="37">
        <f t="shared" si="51"/>
        <v>0</v>
      </c>
      <c r="AF80" s="37">
        <f t="shared" si="52"/>
        <v>0</v>
      </c>
      <c r="AG80" s="37">
        <f t="shared" si="53"/>
        <v>0</v>
      </c>
      <c r="AH80" s="37">
        <f t="shared" si="54"/>
        <v>0</v>
      </c>
      <c r="AI80" s="49" t="s">
        <v>89</v>
      </c>
      <c r="AJ80" s="37">
        <f t="shared" si="55"/>
        <v>0</v>
      </c>
      <c r="AK80" s="37">
        <f t="shared" si="56"/>
        <v>0</v>
      </c>
      <c r="AL80" s="37">
        <f t="shared" si="57"/>
        <v>0</v>
      </c>
      <c r="AN80" s="37">
        <v>21</v>
      </c>
      <c r="AO80" s="37">
        <f>G80*1</f>
        <v>0</v>
      </c>
      <c r="AP80" s="37">
        <f>G80*(1-1)</f>
        <v>0</v>
      </c>
      <c r="AQ80" s="68" t="s">
        <v>213</v>
      </c>
      <c r="AV80" s="37">
        <f t="shared" si="58"/>
        <v>0</v>
      </c>
      <c r="AW80" s="37">
        <f t="shared" si="59"/>
        <v>0</v>
      </c>
      <c r="AX80" s="37">
        <f t="shared" si="60"/>
        <v>0</v>
      </c>
      <c r="AY80" s="68" t="s">
        <v>378</v>
      </c>
      <c r="AZ80" s="68" t="s">
        <v>362</v>
      </c>
      <c r="BA80" s="49" t="s">
        <v>220</v>
      </c>
      <c r="BC80" s="37">
        <f t="shared" si="61"/>
        <v>0</v>
      </c>
      <c r="BD80" s="37">
        <f t="shared" si="62"/>
        <v>0</v>
      </c>
      <c r="BE80" s="37">
        <v>0</v>
      </c>
      <c r="BF80" s="37">
        <f>80</f>
        <v>80</v>
      </c>
      <c r="BH80" s="37">
        <f t="shared" si="63"/>
        <v>0</v>
      </c>
      <c r="BI80" s="37">
        <f t="shared" si="64"/>
        <v>0</v>
      </c>
      <c r="BJ80" s="37">
        <f t="shared" si="65"/>
        <v>0</v>
      </c>
      <c r="BK80" s="37"/>
      <c r="BL80" s="37">
        <v>59</v>
      </c>
      <c r="BW80" s="37">
        <v>21</v>
      </c>
      <c r="BX80" s="3" t="s">
        <v>393</v>
      </c>
    </row>
    <row r="81" spans="1:76" x14ac:dyDescent="0.25">
      <c r="A81" s="1" t="s">
        <v>113</v>
      </c>
      <c r="B81" s="2" t="s">
        <v>394</v>
      </c>
      <c r="C81" s="258" t="s">
        <v>395</v>
      </c>
      <c r="D81" s="259"/>
      <c r="E81" s="2" t="s">
        <v>313</v>
      </c>
      <c r="F81" s="37">
        <v>16.100000000000001</v>
      </c>
      <c r="G81" s="66">
        <v>0</v>
      </c>
      <c r="H81" s="37">
        <f t="shared" si="44"/>
        <v>0</v>
      </c>
      <c r="I81" s="37">
        <f t="shared" si="45"/>
        <v>0</v>
      </c>
      <c r="J81" s="37">
        <f t="shared" si="46"/>
        <v>0</v>
      </c>
      <c r="K81" s="67" t="s">
        <v>217</v>
      </c>
      <c r="Z81" s="37">
        <f t="shared" si="47"/>
        <v>0</v>
      </c>
      <c r="AB81" s="37">
        <f t="shared" si="48"/>
        <v>0</v>
      </c>
      <c r="AC81" s="37">
        <f t="shared" si="49"/>
        <v>0</v>
      </c>
      <c r="AD81" s="37">
        <f t="shared" si="50"/>
        <v>0</v>
      </c>
      <c r="AE81" s="37">
        <f t="shared" si="51"/>
        <v>0</v>
      </c>
      <c r="AF81" s="37">
        <f t="shared" si="52"/>
        <v>0</v>
      </c>
      <c r="AG81" s="37">
        <f t="shared" si="53"/>
        <v>0</v>
      </c>
      <c r="AH81" s="37">
        <f t="shared" si="54"/>
        <v>0</v>
      </c>
      <c r="AI81" s="49" t="s">
        <v>89</v>
      </c>
      <c r="AJ81" s="37">
        <f t="shared" si="55"/>
        <v>0</v>
      </c>
      <c r="AK81" s="37">
        <f t="shared" si="56"/>
        <v>0</v>
      </c>
      <c r="AL81" s="37">
        <f t="shared" si="57"/>
        <v>0</v>
      </c>
      <c r="AN81" s="37">
        <v>21</v>
      </c>
      <c r="AO81" s="37">
        <f>G81*0.873275862</f>
        <v>0</v>
      </c>
      <c r="AP81" s="37">
        <f>G81*(1-0.873275862)</f>
        <v>0</v>
      </c>
      <c r="AQ81" s="68" t="s">
        <v>213</v>
      </c>
      <c r="AV81" s="37">
        <f t="shared" si="58"/>
        <v>0</v>
      </c>
      <c r="AW81" s="37">
        <f t="shared" si="59"/>
        <v>0</v>
      </c>
      <c r="AX81" s="37">
        <f t="shared" si="60"/>
        <v>0</v>
      </c>
      <c r="AY81" s="68" t="s">
        <v>378</v>
      </c>
      <c r="AZ81" s="68" t="s">
        <v>362</v>
      </c>
      <c r="BA81" s="49" t="s">
        <v>220</v>
      </c>
      <c r="BC81" s="37">
        <f t="shared" si="61"/>
        <v>0</v>
      </c>
      <c r="BD81" s="37">
        <f t="shared" si="62"/>
        <v>0</v>
      </c>
      <c r="BE81" s="37">
        <v>0</v>
      </c>
      <c r="BF81" s="37">
        <f>81</f>
        <v>81</v>
      </c>
      <c r="BH81" s="37">
        <f t="shared" si="63"/>
        <v>0</v>
      </c>
      <c r="BI81" s="37">
        <f t="shared" si="64"/>
        <v>0</v>
      </c>
      <c r="BJ81" s="37">
        <f t="shared" si="65"/>
        <v>0</v>
      </c>
      <c r="BK81" s="37"/>
      <c r="BL81" s="37">
        <v>59</v>
      </c>
      <c r="BW81" s="37">
        <v>21</v>
      </c>
      <c r="BX81" s="3" t="s">
        <v>395</v>
      </c>
    </row>
    <row r="82" spans="1:76" x14ac:dyDescent="0.25">
      <c r="A82" s="1" t="s">
        <v>396</v>
      </c>
      <c r="B82" s="2" t="s">
        <v>397</v>
      </c>
      <c r="C82" s="258" t="s">
        <v>398</v>
      </c>
      <c r="D82" s="259"/>
      <c r="E82" s="2" t="s">
        <v>251</v>
      </c>
      <c r="F82" s="37">
        <v>8.0500000000000007</v>
      </c>
      <c r="G82" s="66">
        <v>0</v>
      </c>
      <c r="H82" s="37">
        <f t="shared" si="44"/>
        <v>0</v>
      </c>
      <c r="I82" s="37">
        <f t="shared" si="45"/>
        <v>0</v>
      </c>
      <c r="J82" s="37">
        <f t="shared" si="46"/>
        <v>0</v>
      </c>
      <c r="K82" s="67" t="s">
        <v>327</v>
      </c>
      <c r="Z82" s="37">
        <f t="shared" si="47"/>
        <v>0</v>
      </c>
      <c r="AB82" s="37">
        <f t="shared" si="48"/>
        <v>0</v>
      </c>
      <c r="AC82" s="37">
        <f t="shared" si="49"/>
        <v>0</v>
      </c>
      <c r="AD82" s="37">
        <f t="shared" si="50"/>
        <v>0</v>
      </c>
      <c r="AE82" s="37">
        <f t="shared" si="51"/>
        <v>0</v>
      </c>
      <c r="AF82" s="37">
        <f t="shared" si="52"/>
        <v>0</v>
      </c>
      <c r="AG82" s="37">
        <f t="shared" si="53"/>
        <v>0</v>
      </c>
      <c r="AH82" s="37">
        <f t="shared" si="54"/>
        <v>0</v>
      </c>
      <c r="AI82" s="49" t="s">
        <v>89</v>
      </c>
      <c r="AJ82" s="37">
        <f t="shared" si="55"/>
        <v>0</v>
      </c>
      <c r="AK82" s="37">
        <f t="shared" si="56"/>
        <v>0</v>
      </c>
      <c r="AL82" s="37">
        <f t="shared" si="57"/>
        <v>0</v>
      </c>
      <c r="AN82" s="37">
        <v>21</v>
      </c>
      <c r="AO82" s="37">
        <f>G82*0.226168475</f>
        <v>0</v>
      </c>
      <c r="AP82" s="37">
        <f>G82*(1-0.226168475)</f>
        <v>0</v>
      </c>
      <c r="AQ82" s="68" t="s">
        <v>213</v>
      </c>
      <c r="AV82" s="37">
        <f t="shared" si="58"/>
        <v>0</v>
      </c>
      <c r="AW82" s="37">
        <f t="shared" si="59"/>
        <v>0</v>
      </c>
      <c r="AX82" s="37">
        <f t="shared" si="60"/>
        <v>0</v>
      </c>
      <c r="AY82" s="68" t="s">
        <v>378</v>
      </c>
      <c r="AZ82" s="68" t="s">
        <v>362</v>
      </c>
      <c r="BA82" s="49" t="s">
        <v>220</v>
      </c>
      <c r="BC82" s="37">
        <f t="shared" si="61"/>
        <v>0</v>
      </c>
      <c r="BD82" s="37">
        <f t="shared" si="62"/>
        <v>0</v>
      </c>
      <c r="BE82" s="37">
        <v>0</v>
      </c>
      <c r="BF82" s="37">
        <f>82</f>
        <v>82</v>
      </c>
      <c r="BH82" s="37">
        <f t="shared" si="63"/>
        <v>0</v>
      </c>
      <c r="BI82" s="37">
        <f t="shared" si="64"/>
        <v>0</v>
      </c>
      <c r="BJ82" s="37">
        <f t="shared" si="65"/>
        <v>0</v>
      </c>
      <c r="BK82" s="37"/>
      <c r="BL82" s="37">
        <v>59</v>
      </c>
      <c r="BW82" s="37">
        <v>21</v>
      </c>
      <c r="BX82" s="3" t="s">
        <v>398</v>
      </c>
    </row>
    <row r="83" spans="1:76" x14ac:dyDescent="0.25">
      <c r="A83" s="61" t="s">
        <v>4</v>
      </c>
      <c r="B83" s="62" t="s">
        <v>117</v>
      </c>
      <c r="C83" s="343" t="s">
        <v>118</v>
      </c>
      <c r="D83" s="344"/>
      <c r="E83" s="63" t="s">
        <v>81</v>
      </c>
      <c r="F83" s="63" t="s">
        <v>81</v>
      </c>
      <c r="G83" s="64" t="s">
        <v>81</v>
      </c>
      <c r="H83" s="43">
        <f>SUM(H84:H87)</f>
        <v>0</v>
      </c>
      <c r="I83" s="43">
        <f>SUM(I84:I87)</f>
        <v>0</v>
      </c>
      <c r="J83" s="43">
        <f>SUM(J84:J87)</f>
        <v>0</v>
      </c>
      <c r="K83" s="65" t="s">
        <v>4</v>
      </c>
      <c r="AI83" s="49" t="s">
        <v>89</v>
      </c>
      <c r="AS83" s="43">
        <f>SUM(AJ84:AJ87)</f>
        <v>0</v>
      </c>
      <c r="AT83" s="43">
        <f>SUM(AK84:AK87)</f>
        <v>0</v>
      </c>
      <c r="AU83" s="43">
        <f>SUM(AL84:AL87)</f>
        <v>0</v>
      </c>
    </row>
    <row r="84" spans="1:76" x14ac:dyDescent="0.25">
      <c r="A84" s="1" t="s">
        <v>399</v>
      </c>
      <c r="B84" s="2" t="s">
        <v>400</v>
      </c>
      <c r="C84" s="258" t="s">
        <v>401</v>
      </c>
      <c r="D84" s="259"/>
      <c r="E84" s="2" t="s">
        <v>251</v>
      </c>
      <c r="F84" s="37">
        <v>18.8</v>
      </c>
      <c r="G84" s="66">
        <v>0</v>
      </c>
      <c r="H84" s="37">
        <f>F84*AO84</f>
        <v>0</v>
      </c>
      <c r="I84" s="37">
        <f>F84*AP84</f>
        <v>0</v>
      </c>
      <c r="J84" s="37">
        <f>F84*G84</f>
        <v>0</v>
      </c>
      <c r="K84" s="67" t="s">
        <v>217</v>
      </c>
      <c r="Z84" s="37">
        <f>IF(AQ84="5",BJ84,0)</f>
        <v>0</v>
      </c>
      <c r="AB84" s="37">
        <f>IF(AQ84="1",BH84,0)</f>
        <v>0</v>
      </c>
      <c r="AC84" s="37">
        <f>IF(AQ84="1",BI84,0)</f>
        <v>0</v>
      </c>
      <c r="AD84" s="37">
        <f>IF(AQ84="7",BH84,0)</f>
        <v>0</v>
      </c>
      <c r="AE84" s="37">
        <f>IF(AQ84="7",BI84,0)</f>
        <v>0</v>
      </c>
      <c r="AF84" s="37">
        <f>IF(AQ84="2",BH84,0)</f>
        <v>0</v>
      </c>
      <c r="AG84" s="37">
        <f>IF(AQ84="2",BI84,0)</f>
        <v>0</v>
      </c>
      <c r="AH84" s="37">
        <f>IF(AQ84="0",BJ84,0)</f>
        <v>0</v>
      </c>
      <c r="AI84" s="49" t="s">
        <v>89</v>
      </c>
      <c r="AJ84" s="37">
        <f>IF(AN84=0,J84,0)</f>
        <v>0</v>
      </c>
      <c r="AK84" s="37">
        <f>IF(AN84=12,J84,0)</f>
        <v>0</v>
      </c>
      <c r="AL84" s="37">
        <f>IF(AN84=21,J84,0)</f>
        <v>0</v>
      </c>
      <c r="AN84" s="37">
        <v>21</v>
      </c>
      <c r="AO84" s="37">
        <f>G84*0.35255441</f>
        <v>0</v>
      </c>
      <c r="AP84" s="37">
        <f>G84*(1-0.35255441)</f>
        <v>0</v>
      </c>
      <c r="AQ84" s="68" t="s">
        <v>213</v>
      </c>
      <c r="AV84" s="37">
        <f>AW84+AX84</f>
        <v>0</v>
      </c>
      <c r="AW84" s="37">
        <f>F84*AO84</f>
        <v>0</v>
      </c>
      <c r="AX84" s="37">
        <f>F84*AP84</f>
        <v>0</v>
      </c>
      <c r="AY84" s="68" t="s">
        <v>402</v>
      </c>
      <c r="AZ84" s="68" t="s">
        <v>403</v>
      </c>
      <c r="BA84" s="49" t="s">
        <v>220</v>
      </c>
      <c r="BC84" s="37">
        <f>AW84+AX84</f>
        <v>0</v>
      </c>
      <c r="BD84" s="37">
        <f>G84/(100-BE84)*100</f>
        <v>0</v>
      </c>
      <c r="BE84" s="37">
        <v>0</v>
      </c>
      <c r="BF84" s="37">
        <f>84</f>
        <v>84</v>
      </c>
      <c r="BH84" s="37">
        <f>F84*AO84</f>
        <v>0</v>
      </c>
      <c r="BI84" s="37">
        <f>F84*AP84</f>
        <v>0</v>
      </c>
      <c r="BJ84" s="37">
        <f>F84*G84</f>
        <v>0</v>
      </c>
      <c r="BK84" s="37"/>
      <c r="BL84" s="37">
        <v>61</v>
      </c>
      <c r="BW84" s="37">
        <v>21</v>
      </c>
      <c r="BX84" s="3" t="s">
        <v>401</v>
      </c>
    </row>
    <row r="85" spans="1:76" x14ac:dyDescent="0.25">
      <c r="A85" s="1" t="s">
        <v>115</v>
      </c>
      <c r="B85" s="2" t="s">
        <v>404</v>
      </c>
      <c r="C85" s="258" t="s">
        <v>405</v>
      </c>
      <c r="D85" s="259"/>
      <c r="E85" s="2" t="s">
        <v>251</v>
      </c>
      <c r="F85" s="37">
        <v>18.8</v>
      </c>
      <c r="G85" s="66">
        <v>0</v>
      </c>
      <c r="H85" s="37">
        <f>F85*AO85</f>
        <v>0</v>
      </c>
      <c r="I85" s="37">
        <f>F85*AP85</f>
        <v>0</v>
      </c>
      <c r="J85" s="37">
        <f>F85*G85</f>
        <v>0</v>
      </c>
      <c r="K85" s="67" t="s">
        <v>217</v>
      </c>
      <c r="Z85" s="37">
        <f>IF(AQ85="5",BJ85,0)</f>
        <v>0</v>
      </c>
      <c r="AB85" s="37">
        <f>IF(AQ85="1",BH85,0)</f>
        <v>0</v>
      </c>
      <c r="AC85" s="37">
        <f>IF(AQ85="1",BI85,0)</f>
        <v>0</v>
      </c>
      <c r="AD85" s="37">
        <f>IF(AQ85="7",BH85,0)</f>
        <v>0</v>
      </c>
      <c r="AE85" s="37">
        <f>IF(AQ85="7",BI85,0)</f>
        <v>0</v>
      </c>
      <c r="AF85" s="37">
        <f>IF(AQ85="2",BH85,0)</f>
        <v>0</v>
      </c>
      <c r="AG85" s="37">
        <f>IF(AQ85="2",BI85,0)</f>
        <v>0</v>
      </c>
      <c r="AH85" s="37">
        <f>IF(AQ85="0",BJ85,0)</f>
        <v>0</v>
      </c>
      <c r="AI85" s="49" t="s">
        <v>89</v>
      </c>
      <c r="AJ85" s="37">
        <f>IF(AN85=0,J85,0)</f>
        <v>0</v>
      </c>
      <c r="AK85" s="37">
        <f>IF(AN85=12,J85,0)</f>
        <v>0</v>
      </c>
      <c r="AL85" s="37">
        <f>IF(AN85=21,J85,0)</f>
        <v>0</v>
      </c>
      <c r="AN85" s="37">
        <v>21</v>
      </c>
      <c r="AO85" s="37">
        <f>G85*0.466926714</f>
        <v>0</v>
      </c>
      <c r="AP85" s="37">
        <f>G85*(1-0.466926714)</f>
        <v>0</v>
      </c>
      <c r="AQ85" s="68" t="s">
        <v>213</v>
      </c>
      <c r="AV85" s="37">
        <f>AW85+AX85</f>
        <v>0</v>
      </c>
      <c r="AW85" s="37">
        <f>F85*AO85</f>
        <v>0</v>
      </c>
      <c r="AX85" s="37">
        <f>F85*AP85</f>
        <v>0</v>
      </c>
      <c r="AY85" s="68" t="s">
        <v>402</v>
      </c>
      <c r="AZ85" s="68" t="s">
        <v>403</v>
      </c>
      <c r="BA85" s="49" t="s">
        <v>220</v>
      </c>
      <c r="BC85" s="37">
        <f>AW85+AX85</f>
        <v>0</v>
      </c>
      <c r="BD85" s="37">
        <f>G85/(100-BE85)*100</f>
        <v>0</v>
      </c>
      <c r="BE85" s="37">
        <v>0</v>
      </c>
      <c r="BF85" s="37">
        <f>85</f>
        <v>85</v>
      </c>
      <c r="BH85" s="37">
        <f>F85*AO85</f>
        <v>0</v>
      </c>
      <c r="BI85" s="37">
        <f>F85*AP85</f>
        <v>0</v>
      </c>
      <c r="BJ85" s="37">
        <f>F85*G85</f>
        <v>0</v>
      </c>
      <c r="BK85" s="37"/>
      <c r="BL85" s="37">
        <v>61</v>
      </c>
      <c r="BW85" s="37">
        <v>21</v>
      </c>
      <c r="BX85" s="3" t="s">
        <v>405</v>
      </c>
    </row>
    <row r="86" spans="1:76" x14ac:dyDescent="0.25">
      <c r="A86" s="1" t="s">
        <v>406</v>
      </c>
      <c r="B86" s="2" t="s">
        <v>407</v>
      </c>
      <c r="C86" s="258" t="s">
        <v>408</v>
      </c>
      <c r="D86" s="259"/>
      <c r="E86" s="2" t="s">
        <v>313</v>
      </c>
      <c r="F86" s="37">
        <v>145.91</v>
      </c>
      <c r="G86" s="66">
        <v>0</v>
      </c>
      <c r="H86" s="37">
        <f>F86*AO86</f>
        <v>0</v>
      </c>
      <c r="I86" s="37">
        <f>F86*AP86</f>
        <v>0</v>
      </c>
      <c r="J86" s="37">
        <f>F86*G86</f>
        <v>0</v>
      </c>
      <c r="K86" s="67" t="s">
        <v>217</v>
      </c>
      <c r="Z86" s="37">
        <f>IF(AQ86="5",BJ86,0)</f>
        <v>0</v>
      </c>
      <c r="AB86" s="37">
        <f>IF(AQ86="1",BH86,0)</f>
        <v>0</v>
      </c>
      <c r="AC86" s="37">
        <f>IF(AQ86="1",BI86,0)</f>
        <v>0</v>
      </c>
      <c r="AD86" s="37">
        <f>IF(AQ86="7",BH86,0)</f>
        <v>0</v>
      </c>
      <c r="AE86" s="37">
        <f>IF(AQ86="7",BI86,0)</f>
        <v>0</v>
      </c>
      <c r="AF86" s="37">
        <f>IF(AQ86="2",BH86,0)</f>
        <v>0</v>
      </c>
      <c r="AG86" s="37">
        <f>IF(AQ86="2",BI86,0)</f>
        <v>0</v>
      </c>
      <c r="AH86" s="37">
        <f>IF(AQ86="0",BJ86,0)</f>
        <v>0</v>
      </c>
      <c r="AI86" s="49" t="s">
        <v>89</v>
      </c>
      <c r="AJ86" s="37">
        <f>IF(AN86=0,J86,0)</f>
        <v>0</v>
      </c>
      <c r="AK86" s="37">
        <f>IF(AN86=12,J86,0)</f>
        <v>0</v>
      </c>
      <c r="AL86" s="37">
        <f>IF(AN86=21,J86,0)</f>
        <v>0</v>
      </c>
      <c r="AN86" s="37">
        <v>21</v>
      </c>
      <c r="AO86" s="37">
        <f>G86*0.223544239</f>
        <v>0</v>
      </c>
      <c r="AP86" s="37">
        <f>G86*(1-0.223544239)</f>
        <v>0</v>
      </c>
      <c r="AQ86" s="68" t="s">
        <v>213</v>
      </c>
      <c r="AV86" s="37">
        <f>AW86+AX86</f>
        <v>0</v>
      </c>
      <c r="AW86" s="37">
        <f>F86*AO86</f>
        <v>0</v>
      </c>
      <c r="AX86" s="37">
        <f>F86*AP86</f>
        <v>0</v>
      </c>
      <c r="AY86" s="68" t="s">
        <v>402</v>
      </c>
      <c r="AZ86" s="68" t="s">
        <v>403</v>
      </c>
      <c r="BA86" s="49" t="s">
        <v>220</v>
      </c>
      <c r="BC86" s="37">
        <f>AW86+AX86</f>
        <v>0</v>
      </c>
      <c r="BD86" s="37">
        <f>G86/(100-BE86)*100</f>
        <v>0</v>
      </c>
      <c r="BE86" s="37">
        <v>0</v>
      </c>
      <c r="BF86" s="37">
        <f>86</f>
        <v>86</v>
      </c>
      <c r="BH86" s="37">
        <f>F86*AO86</f>
        <v>0</v>
      </c>
      <c r="BI86" s="37">
        <f>F86*AP86</f>
        <v>0</v>
      </c>
      <c r="BJ86" s="37">
        <f>F86*G86</f>
        <v>0</v>
      </c>
      <c r="BK86" s="37"/>
      <c r="BL86" s="37">
        <v>61</v>
      </c>
      <c r="BW86" s="37">
        <v>21</v>
      </c>
      <c r="BX86" s="3" t="s">
        <v>408</v>
      </c>
    </row>
    <row r="87" spans="1:76" x14ac:dyDescent="0.25">
      <c r="A87" s="1" t="s">
        <v>117</v>
      </c>
      <c r="B87" s="2" t="s">
        <v>409</v>
      </c>
      <c r="C87" s="258" t="s">
        <v>410</v>
      </c>
      <c r="D87" s="259"/>
      <c r="E87" s="2" t="s">
        <v>251</v>
      </c>
      <c r="F87" s="37">
        <v>19.760000000000002</v>
      </c>
      <c r="G87" s="66">
        <v>0</v>
      </c>
      <c r="H87" s="37">
        <f>F87*AO87</f>
        <v>0</v>
      </c>
      <c r="I87" s="37">
        <f>F87*AP87</f>
        <v>0</v>
      </c>
      <c r="J87" s="37">
        <f>F87*G87</f>
        <v>0</v>
      </c>
      <c r="K87" s="67" t="s">
        <v>217</v>
      </c>
      <c r="Z87" s="37">
        <f>IF(AQ87="5",BJ87,0)</f>
        <v>0</v>
      </c>
      <c r="AB87" s="37">
        <f>IF(AQ87="1",BH87,0)</f>
        <v>0</v>
      </c>
      <c r="AC87" s="37">
        <f>IF(AQ87="1",BI87,0)</f>
        <v>0</v>
      </c>
      <c r="AD87" s="37">
        <f>IF(AQ87="7",BH87,0)</f>
        <v>0</v>
      </c>
      <c r="AE87" s="37">
        <f>IF(AQ87="7",BI87,0)</f>
        <v>0</v>
      </c>
      <c r="AF87" s="37">
        <f>IF(AQ87="2",BH87,0)</f>
        <v>0</v>
      </c>
      <c r="AG87" s="37">
        <f>IF(AQ87="2",BI87,0)</f>
        <v>0</v>
      </c>
      <c r="AH87" s="37">
        <f>IF(AQ87="0",BJ87,0)</f>
        <v>0</v>
      </c>
      <c r="AI87" s="49" t="s">
        <v>89</v>
      </c>
      <c r="AJ87" s="37">
        <f>IF(AN87=0,J87,0)</f>
        <v>0</v>
      </c>
      <c r="AK87" s="37">
        <f>IF(AN87=12,J87,0)</f>
        <v>0</v>
      </c>
      <c r="AL87" s="37">
        <f>IF(AN87=21,J87,0)</f>
        <v>0</v>
      </c>
      <c r="AN87" s="37">
        <v>21</v>
      </c>
      <c r="AO87" s="37">
        <f>G87*0.118914286</f>
        <v>0</v>
      </c>
      <c r="AP87" s="37">
        <f>G87*(1-0.118914286)</f>
        <v>0</v>
      </c>
      <c r="AQ87" s="68" t="s">
        <v>213</v>
      </c>
      <c r="AV87" s="37">
        <f>AW87+AX87</f>
        <v>0</v>
      </c>
      <c r="AW87" s="37">
        <f>F87*AO87</f>
        <v>0</v>
      </c>
      <c r="AX87" s="37">
        <f>F87*AP87</f>
        <v>0</v>
      </c>
      <c r="AY87" s="68" t="s">
        <v>402</v>
      </c>
      <c r="AZ87" s="68" t="s">
        <v>403</v>
      </c>
      <c r="BA87" s="49" t="s">
        <v>220</v>
      </c>
      <c r="BC87" s="37">
        <f>AW87+AX87</f>
        <v>0</v>
      </c>
      <c r="BD87" s="37">
        <f>G87/(100-BE87)*100</f>
        <v>0</v>
      </c>
      <c r="BE87" s="37">
        <v>0</v>
      </c>
      <c r="BF87" s="37">
        <f>87</f>
        <v>87</v>
      </c>
      <c r="BH87" s="37">
        <f>F87*AO87</f>
        <v>0</v>
      </c>
      <c r="BI87" s="37">
        <f>F87*AP87</f>
        <v>0</v>
      </c>
      <c r="BJ87" s="37">
        <f>F87*G87</f>
        <v>0</v>
      </c>
      <c r="BK87" s="37"/>
      <c r="BL87" s="37">
        <v>61</v>
      </c>
      <c r="BW87" s="37">
        <v>21</v>
      </c>
      <c r="BX87" s="3" t="s">
        <v>410</v>
      </c>
    </row>
    <row r="88" spans="1:76" x14ac:dyDescent="0.25">
      <c r="A88" s="61" t="s">
        <v>4</v>
      </c>
      <c r="B88" s="62" t="s">
        <v>119</v>
      </c>
      <c r="C88" s="343" t="s">
        <v>120</v>
      </c>
      <c r="D88" s="344"/>
      <c r="E88" s="63" t="s">
        <v>81</v>
      </c>
      <c r="F88" s="63" t="s">
        <v>81</v>
      </c>
      <c r="G88" s="64" t="s">
        <v>81</v>
      </c>
      <c r="H88" s="43">
        <f>SUM(H89:H96)</f>
        <v>0</v>
      </c>
      <c r="I88" s="43">
        <f>SUM(I89:I96)</f>
        <v>0</v>
      </c>
      <c r="J88" s="43">
        <f>SUM(J89:J96)</f>
        <v>0</v>
      </c>
      <c r="K88" s="65" t="s">
        <v>4</v>
      </c>
      <c r="AI88" s="49" t="s">
        <v>89</v>
      </c>
      <c r="AS88" s="43">
        <f>SUM(AJ89:AJ96)</f>
        <v>0</v>
      </c>
      <c r="AT88" s="43">
        <f>SUM(AK89:AK96)</f>
        <v>0</v>
      </c>
      <c r="AU88" s="43">
        <f>SUM(AL89:AL96)</f>
        <v>0</v>
      </c>
    </row>
    <row r="89" spans="1:76" x14ac:dyDescent="0.25">
      <c r="A89" s="1" t="s">
        <v>119</v>
      </c>
      <c r="B89" s="2" t="s">
        <v>411</v>
      </c>
      <c r="C89" s="258" t="s">
        <v>412</v>
      </c>
      <c r="D89" s="259"/>
      <c r="E89" s="2" t="s">
        <v>313</v>
      </c>
      <c r="F89" s="37">
        <v>56.18</v>
      </c>
      <c r="G89" s="66">
        <v>0</v>
      </c>
      <c r="H89" s="37">
        <f t="shared" ref="H89:H96" si="66">F89*AO89</f>
        <v>0</v>
      </c>
      <c r="I89" s="37">
        <f t="shared" ref="I89:I96" si="67">F89*AP89</f>
        <v>0</v>
      </c>
      <c r="J89" s="37">
        <f t="shared" ref="J89:J96" si="68">F89*G89</f>
        <v>0</v>
      </c>
      <c r="K89" s="67" t="s">
        <v>217</v>
      </c>
      <c r="Z89" s="37">
        <f t="shared" ref="Z89:Z96" si="69">IF(AQ89="5",BJ89,0)</f>
        <v>0</v>
      </c>
      <c r="AB89" s="37">
        <f t="shared" ref="AB89:AB96" si="70">IF(AQ89="1",BH89,0)</f>
        <v>0</v>
      </c>
      <c r="AC89" s="37">
        <f t="shared" ref="AC89:AC96" si="71">IF(AQ89="1",BI89,0)</f>
        <v>0</v>
      </c>
      <c r="AD89" s="37">
        <f t="shared" ref="AD89:AD96" si="72">IF(AQ89="7",BH89,0)</f>
        <v>0</v>
      </c>
      <c r="AE89" s="37">
        <f t="shared" ref="AE89:AE96" si="73">IF(AQ89="7",BI89,0)</f>
        <v>0</v>
      </c>
      <c r="AF89" s="37">
        <f t="shared" ref="AF89:AF96" si="74">IF(AQ89="2",BH89,0)</f>
        <v>0</v>
      </c>
      <c r="AG89" s="37">
        <f t="shared" ref="AG89:AG96" si="75">IF(AQ89="2",BI89,0)</f>
        <v>0</v>
      </c>
      <c r="AH89" s="37">
        <f t="shared" ref="AH89:AH96" si="76">IF(AQ89="0",BJ89,0)</f>
        <v>0</v>
      </c>
      <c r="AI89" s="49" t="s">
        <v>89</v>
      </c>
      <c r="AJ89" s="37">
        <f t="shared" ref="AJ89:AJ96" si="77">IF(AN89=0,J89,0)</f>
        <v>0</v>
      </c>
      <c r="AK89" s="37">
        <f t="shared" ref="AK89:AK96" si="78">IF(AN89=12,J89,0)</f>
        <v>0</v>
      </c>
      <c r="AL89" s="37">
        <f t="shared" ref="AL89:AL96" si="79">IF(AN89=21,J89,0)</f>
        <v>0</v>
      </c>
      <c r="AN89" s="37">
        <v>21</v>
      </c>
      <c r="AO89" s="37">
        <f>G89*0.687908612</f>
        <v>0</v>
      </c>
      <c r="AP89" s="37">
        <f>G89*(1-0.687908612)</f>
        <v>0</v>
      </c>
      <c r="AQ89" s="68" t="s">
        <v>213</v>
      </c>
      <c r="AV89" s="37">
        <f t="shared" ref="AV89:AV96" si="80">AW89+AX89</f>
        <v>0</v>
      </c>
      <c r="AW89" s="37">
        <f t="shared" ref="AW89:AW96" si="81">F89*AO89</f>
        <v>0</v>
      </c>
      <c r="AX89" s="37">
        <f t="shared" ref="AX89:AX96" si="82">F89*AP89</f>
        <v>0</v>
      </c>
      <c r="AY89" s="68" t="s">
        <v>413</v>
      </c>
      <c r="AZ89" s="68" t="s">
        <v>403</v>
      </c>
      <c r="BA89" s="49" t="s">
        <v>220</v>
      </c>
      <c r="BC89" s="37">
        <f t="shared" ref="BC89:BC96" si="83">AW89+AX89</f>
        <v>0</v>
      </c>
      <c r="BD89" s="37">
        <f t="shared" ref="BD89:BD96" si="84">G89/(100-BE89)*100</f>
        <v>0</v>
      </c>
      <c r="BE89" s="37">
        <v>0</v>
      </c>
      <c r="BF89" s="37">
        <f>89</f>
        <v>89</v>
      </c>
      <c r="BH89" s="37">
        <f t="shared" ref="BH89:BH96" si="85">F89*AO89</f>
        <v>0</v>
      </c>
      <c r="BI89" s="37">
        <f t="shared" ref="BI89:BI96" si="86">F89*AP89</f>
        <v>0</v>
      </c>
      <c r="BJ89" s="37">
        <f t="shared" ref="BJ89:BJ96" si="87">F89*G89</f>
        <v>0</v>
      </c>
      <c r="BK89" s="37"/>
      <c r="BL89" s="37">
        <v>62</v>
      </c>
      <c r="BW89" s="37">
        <v>21</v>
      </c>
      <c r="BX89" s="3" t="s">
        <v>412</v>
      </c>
    </row>
    <row r="90" spans="1:76" x14ac:dyDescent="0.25">
      <c r="A90" s="1" t="s">
        <v>121</v>
      </c>
      <c r="B90" s="2" t="s">
        <v>414</v>
      </c>
      <c r="C90" s="258" t="s">
        <v>415</v>
      </c>
      <c r="D90" s="259"/>
      <c r="E90" s="2" t="s">
        <v>251</v>
      </c>
      <c r="F90" s="37">
        <v>65.802999999999997</v>
      </c>
      <c r="G90" s="66">
        <v>0</v>
      </c>
      <c r="H90" s="37">
        <f t="shared" si="66"/>
        <v>0</v>
      </c>
      <c r="I90" s="37">
        <f t="shared" si="67"/>
        <v>0</v>
      </c>
      <c r="J90" s="37">
        <f t="shared" si="68"/>
        <v>0</v>
      </c>
      <c r="K90" s="67" t="s">
        <v>217</v>
      </c>
      <c r="Z90" s="37">
        <f t="shared" si="69"/>
        <v>0</v>
      </c>
      <c r="AB90" s="37">
        <f t="shared" si="70"/>
        <v>0</v>
      </c>
      <c r="AC90" s="37">
        <f t="shared" si="71"/>
        <v>0</v>
      </c>
      <c r="AD90" s="37">
        <f t="shared" si="72"/>
        <v>0</v>
      </c>
      <c r="AE90" s="37">
        <f t="shared" si="73"/>
        <v>0</v>
      </c>
      <c r="AF90" s="37">
        <f t="shared" si="74"/>
        <v>0</v>
      </c>
      <c r="AG90" s="37">
        <f t="shared" si="75"/>
        <v>0</v>
      </c>
      <c r="AH90" s="37">
        <f t="shared" si="76"/>
        <v>0</v>
      </c>
      <c r="AI90" s="49" t="s">
        <v>89</v>
      </c>
      <c r="AJ90" s="37">
        <f t="shared" si="77"/>
        <v>0</v>
      </c>
      <c r="AK90" s="37">
        <f t="shared" si="78"/>
        <v>0</v>
      </c>
      <c r="AL90" s="37">
        <f t="shared" si="79"/>
        <v>0</v>
      </c>
      <c r="AN90" s="37">
        <v>21</v>
      </c>
      <c r="AO90" s="37">
        <f>G90*0.674266968</f>
        <v>0</v>
      </c>
      <c r="AP90" s="37">
        <f>G90*(1-0.674266968)</f>
        <v>0</v>
      </c>
      <c r="AQ90" s="68" t="s">
        <v>213</v>
      </c>
      <c r="AV90" s="37">
        <f t="shared" si="80"/>
        <v>0</v>
      </c>
      <c r="AW90" s="37">
        <f t="shared" si="81"/>
        <v>0</v>
      </c>
      <c r="AX90" s="37">
        <f t="shared" si="82"/>
        <v>0</v>
      </c>
      <c r="AY90" s="68" t="s">
        <v>413</v>
      </c>
      <c r="AZ90" s="68" t="s">
        <v>403</v>
      </c>
      <c r="BA90" s="49" t="s">
        <v>220</v>
      </c>
      <c r="BC90" s="37">
        <f t="shared" si="83"/>
        <v>0</v>
      </c>
      <c r="BD90" s="37">
        <f t="shared" si="84"/>
        <v>0</v>
      </c>
      <c r="BE90" s="37">
        <v>0</v>
      </c>
      <c r="BF90" s="37">
        <f>90</f>
        <v>90</v>
      </c>
      <c r="BH90" s="37">
        <f t="shared" si="85"/>
        <v>0</v>
      </c>
      <c r="BI90" s="37">
        <f t="shared" si="86"/>
        <v>0</v>
      </c>
      <c r="BJ90" s="37">
        <f t="shared" si="87"/>
        <v>0</v>
      </c>
      <c r="BK90" s="37"/>
      <c r="BL90" s="37">
        <v>62</v>
      </c>
      <c r="BW90" s="37">
        <v>21</v>
      </c>
      <c r="BX90" s="3" t="s">
        <v>415</v>
      </c>
    </row>
    <row r="91" spans="1:76" ht="25.5" x14ac:dyDescent="0.25">
      <c r="A91" s="1" t="s">
        <v>123</v>
      </c>
      <c r="B91" s="2" t="s">
        <v>416</v>
      </c>
      <c r="C91" s="258" t="s">
        <v>417</v>
      </c>
      <c r="D91" s="259"/>
      <c r="E91" s="2" t="s">
        <v>251</v>
      </c>
      <c r="F91" s="37">
        <v>191.21029999999999</v>
      </c>
      <c r="G91" s="66">
        <v>0</v>
      </c>
      <c r="H91" s="37">
        <f t="shared" si="66"/>
        <v>0</v>
      </c>
      <c r="I91" s="37">
        <f t="shared" si="67"/>
        <v>0</v>
      </c>
      <c r="J91" s="37">
        <f t="shared" si="68"/>
        <v>0</v>
      </c>
      <c r="K91" s="67" t="s">
        <v>217</v>
      </c>
      <c r="Z91" s="37">
        <f t="shared" si="69"/>
        <v>0</v>
      </c>
      <c r="AB91" s="37">
        <f t="shared" si="70"/>
        <v>0</v>
      </c>
      <c r="AC91" s="37">
        <f t="shared" si="71"/>
        <v>0</v>
      </c>
      <c r="AD91" s="37">
        <f t="shared" si="72"/>
        <v>0</v>
      </c>
      <c r="AE91" s="37">
        <f t="shared" si="73"/>
        <v>0</v>
      </c>
      <c r="AF91" s="37">
        <f t="shared" si="74"/>
        <v>0</v>
      </c>
      <c r="AG91" s="37">
        <f t="shared" si="75"/>
        <v>0</v>
      </c>
      <c r="AH91" s="37">
        <f t="shared" si="76"/>
        <v>0</v>
      </c>
      <c r="AI91" s="49" t="s">
        <v>89</v>
      </c>
      <c r="AJ91" s="37">
        <f t="shared" si="77"/>
        <v>0</v>
      </c>
      <c r="AK91" s="37">
        <f t="shared" si="78"/>
        <v>0</v>
      </c>
      <c r="AL91" s="37">
        <f t="shared" si="79"/>
        <v>0</v>
      </c>
      <c r="AN91" s="37">
        <v>21</v>
      </c>
      <c r="AO91" s="37">
        <f>G91*0.661287205</f>
        <v>0</v>
      </c>
      <c r="AP91" s="37">
        <f>G91*(1-0.661287205)</f>
        <v>0</v>
      </c>
      <c r="AQ91" s="68" t="s">
        <v>213</v>
      </c>
      <c r="AV91" s="37">
        <f t="shared" si="80"/>
        <v>0</v>
      </c>
      <c r="AW91" s="37">
        <f t="shared" si="81"/>
        <v>0</v>
      </c>
      <c r="AX91" s="37">
        <f t="shared" si="82"/>
        <v>0</v>
      </c>
      <c r="AY91" s="68" t="s">
        <v>413</v>
      </c>
      <c r="AZ91" s="68" t="s">
        <v>403</v>
      </c>
      <c r="BA91" s="49" t="s">
        <v>220</v>
      </c>
      <c r="BC91" s="37">
        <f t="shared" si="83"/>
        <v>0</v>
      </c>
      <c r="BD91" s="37">
        <f t="shared" si="84"/>
        <v>0</v>
      </c>
      <c r="BE91" s="37">
        <v>0</v>
      </c>
      <c r="BF91" s="37">
        <f>91</f>
        <v>91</v>
      </c>
      <c r="BH91" s="37">
        <f t="shared" si="85"/>
        <v>0</v>
      </c>
      <c r="BI91" s="37">
        <f t="shared" si="86"/>
        <v>0</v>
      </c>
      <c r="BJ91" s="37">
        <f t="shared" si="87"/>
        <v>0</v>
      </c>
      <c r="BK91" s="37"/>
      <c r="BL91" s="37">
        <v>62</v>
      </c>
      <c r="BW91" s="37">
        <v>21</v>
      </c>
      <c r="BX91" s="3" t="s">
        <v>417</v>
      </c>
    </row>
    <row r="92" spans="1:76" x14ac:dyDescent="0.25">
      <c r="A92" s="1" t="s">
        <v>418</v>
      </c>
      <c r="B92" s="2" t="s">
        <v>419</v>
      </c>
      <c r="C92" s="258" t="s">
        <v>420</v>
      </c>
      <c r="D92" s="259"/>
      <c r="E92" s="2" t="s">
        <v>251</v>
      </c>
      <c r="F92" s="37">
        <v>15.0288</v>
      </c>
      <c r="G92" s="66">
        <v>0</v>
      </c>
      <c r="H92" s="37">
        <f t="shared" si="66"/>
        <v>0</v>
      </c>
      <c r="I92" s="37">
        <f t="shared" si="67"/>
        <v>0</v>
      </c>
      <c r="J92" s="37">
        <f t="shared" si="68"/>
        <v>0</v>
      </c>
      <c r="K92" s="67" t="s">
        <v>217</v>
      </c>
      <c r="Z92" s="37">
        <f t="shared" si="69"/>
        <v>0</v>
      </c>
      <c r="AB92" s="37">
        <f t="shared" si="70"/>
        <v>0</v>
      </c>
      <c r="AC92" s="37">
        <f t="shared" si="71"/>
        <v>0</v>
      </c>
      <c r="AD92" s="37">
        <f t="shared" si="72"/>
        <v>0</v>
      </c>
      <c r="AE92" s="37">
        <f t="shared" si="73"/>
        <v>0</v>
      </c>
      <c r="AF92" s="37">
        <f t="shared" si="74"/>
        <v>0</v>
      </c>
      <c r="AG92" s="37">
        <f t="shared" si="75"/>
        <v>0</v>
      </c>
      <c r="AH92" s="37">
        <f t="shared" si="76"/>
        <v>0</v>
      </c>
      <c r="AI92" s="49" t="s">
        <v>89</v>
      </c>
      <c r="AJ92" s="37">
        <f t="shared" si="77"/>
        <v>0</v>
      </c>
      <c r="AK92" s="37">
        <f t="shared" si="78"/>
        <v>0</v>
      </c>
      <c r="AL92" s="37">
        <f t="shared" si="79"/>
        <v>0</v>
      </c>
      <c r="AN92" s="37">
        <v>21</v>
      </c>
      <c r="AO92" s="37">
        <f>G92*0.308626085</f>
        <v>0</v>
      </c>
      <c r="AP92" s="37">
        <f>G92*(1-0.308626085)</f>
        <v>0</v>
      </c>
      <c r="AQ92" s="68" t="s">
        <v>213</v>
      </c>
      <c r="AV92" s="37">
        <f t="shared" si="80"/>
        <v>0</v>
      </c>
      <c r="AW92" s="37">
        <f t="shared" si="81"/>
        <v>0</v>
      </c>
      <c r="AX92" s="37">
        <f t="shared" si="82"/>
        <v>0</v>
      </c>
      <c r="AY92" s="68" t="s">
        <v>413</v>
      </c>
      <c r="AZ92" s="68" t="s">
        <v>403</v>
      </c>
      <c r="BA92" s="49" t="s">
        <v>220</v>
      </c>
      <c r="BC92" s="37">
        <f t="shared" si="83"/>
        <v>0</v>
      </c>
      <c r="BD92" s="37">
        <f t="shared" si="84"/>
        <v>0</v>
      </c>
      <c r="BE92" s="37">
        <v>0</v>
      </c>
      <c r="BF92" s="37">
        <f>92</f>
        <v>92</v>
      </c>
      <c r="BH92" s="37">
        <f t="shared" si="85"/>
        <v>0</v>
      </c>
      <c r="BI92" s="37">
        <f t="shared" si="86"/>
        <v>0</v>
      </c>
      <c r="BJ92" s="37">
        <f t="shared" si="87"/>
        <v>0</v>
      </c>
      <c r="BK92" s="37"/>
      <c r="BL92" s="37">
        <v>62</v>
      </c>
      <c r="BW92" s="37">
        <v>21</v>
      </c>
      <c r="BX92" s="3" t="s">
        <v>420</v>
      </c>
    </row>
    <row r="93" spans="1:76" x14ac:dyDescent="0.25">
      <c r="A93" s="1" t="s">
        <v>421</v>
      </c>
      <c r="B93" s="2" t="s">
        <v>422</v>
      </c>
      <c r="C93" s="258" t="s">
        <v>423</v>
      </c>
      <c r="D93" s="259"/>
      <c r="E93" s="2" t="s">
        <v>251</v>
      </c>
      <c r="F93" s="37">
        <v>39.972999999999999</v>
      </c>
      <c r="G93" s="66">
        <v>0</v>
      </c>
      <c r="H93" s="37">
        <f t="shared" si="66"/>
        <v>0</v>
      </c>
      <c r="I93" s="37">
        <f t="shared" si="67"/>
        <v>0</v>
      </c>
      <c r="J93" s="37">
        <f t="shared" si="68"/>
        <v>0</v>
      </c>
      <c r="K93" s="67" t="s">
        <v>217</v>
      </c>
      <c r="Z93" s="37">
        <f t="shared" si="69"/>
        <v>0</v>
      </c>
      <c r="AB93" s="37">
        <f t="shared" si="70"/>
        <v>0</v>
      </c>
      <c r="AC93" s="37">
        <f t="shared" si="71"/>
        <v>0</v>
      </c>
      <c r="AD93" s="37">
        <f t="shared" si="72"/>
        <v>0</v>
      </c>
      <c r="AE93" s="37">
        <f t="shared" si="73"/>
        <v>0</v>
      </c>
      <c r="AF93" s="37">
        <f t="shared" si="74"/>
        <v>0</v>
      </c>
      <c r="AG93" s="37">
        <f t="shared" si="75"/>
        <v>0</v>
      </c>
      <c r="AH93" s="37">
        <f t="shared" si="76"/>
        <v>0</v>
      </c>
      <c r="AI93" s="49" t="s">
        <v>89</v>
      </c>
      <c r="AJ93" s="37">
        <f t="shared" si="77"/>
        <v>0</v>
      </c>
      <c r="AK93" s="37">
        <f t="shared" si="78"/>
        <v>0</v>
      </c>
      <c r="AL93" s="37">
        <f t="shared" si="79"/>
        <v>0</v>
      </c>
      <c r="AN93" s="37">
        <v>21</v>
      </c>
      <c r="AO93" s="37">
        <f>G93*0.334913493</f>
        <v>0</v>
      </c>
      <c r="AP93" s="37">
        <f>G93*(1-0.334913493)</f>
        <v>0</v>
      </c>
      <c r="AQ93" s="68" t="s">
        <v>213</v>
      </c>
      <c r="AV93" s="37">
        <f t="shared" si="80"/>
        <v>0</v>
      </c>
      <c r="AW93" s="37">
        <f t="shared" si="81"/>
        <v>0</v>
      </c>
      <c r="AX93" s="37">
        <f t="shared" si="82"/>
        <v>0</v>
      </c>
      <c r="AY93" s="68" t="s">
        <v>413</v>
      </c>
      <c r="AZ93" s="68" t="s">
        <v>403</v>
      </c>
      <c r="BA93" s="49" t="s">
        <v>220</v>
      </c>
      <c r="BC93" s="37">
        <f t="shared" si="83"/>
        <v>0</v>
      </c>
      <c r="BD93" s="37">
        <f t="shared" si="84"/>
        <v>0</v>
      </c>
      <c r="BE93" s="37">
        <v>0</v>
      </c>
      <c r="BF93" s="37">
        <f>93</f>
        <v>93</v>
      </c>
      <c r="BH93" s="37">
        <f t="shared" si="85"/>
        <v>0</v>
      </c>
      <c r="BI93" s="37">
        <f t="shared" si="86"/>
        <v>0</v>
      </c>
      <c r="BJ93" s="37">
        <f t="shared" si="87"/>
        <v>0</v>
      </c>
      <c r="BK93" s="37"/>
      <c r="BL93" s="37">
        <v>62</v>
      </c>
      <c r="BW93" s="37">
        <v>21</v>
      </c>
      <c r="BX93" s="3" t="s">
        <v>423</v>
      </c>
    </row>
    <row r="94" spans="1:76" x14ac:dyDescent="0.25">
      <c r="A94" s="1" t="s">
        <v>424</v>
      </c>
      <c r="B94" s="2" t="s">
        <v>425</v>
      </c>
      <c r="C94" s="258" t="s">
        <v>426</v>
      </c>
      <c r="D94" s="259"/>
      <c r="E94" s="2" t="s">
        <v>251</v>
      </c>
      <c r="F94" s="37">
        <v>77.103989999999996</v>
      </c>
      <c r="G94" s="66">
        <v>0</v>
      </c>
      <c r="H94" s="37">
        <f t="shared" si="66"/>
        <v>0</v>
      </c>
      <c r="I94" s="37">
        <f t="shared" si="67"/>
        <v>0</v>
      </c>
      <c r="J94" s="37">
        <f t="shared" si="68"/>
        <v>0</v>
      </c>
      <c r="K94" s="67" t="s">
        <v>217</v>
      </c>
      <c r="Z94" s="37">
        <f t="shared" si="69"/>
        <v>0</v>
      </c>
      <c r="AB94" s="37">
        <f t="shared" si="70"/>
        <v>0</v>
      </c>
      <c r="AC94" s="37">
        <f t="shared" si="71"/>
        <v>0</v>
      </c>
      <c r="AD94" s="37">
        <f t="shared" si="72"/>
        <v>0</v>
      </c>
      <c r="AE94" s="37">
        <f t="shared" si="73"/>
        <v>0</v>
      </c>
      <c r="AF94" s="37">
        <f t="shared" si="74"/>
        <v>0</v>
      </c>
      <c r="AG94" s="37">
        <f t="shared" si="75"/>
        <v>0</v>
      </c>
      <c r="AH94" s="37">
        <f t="shared" si="76"/>
        <v>0</v>
      </c>
      <c r="AI94" s="49" t="s">
        <v>89</v>
      </c>
      <c r="AJ94" s="37">
        <f t="shared" si="77"/>
        <v>0</v>
      </c>
      <c r="AK94" s="37">
        <f t="shared" si="78"/>
        <v>0</v>
      </c>
      <c r="AL94" s="37">
        <f t="shared" si="79"/>
        <v>0</v>
      </c>
      <c r="AN94" s="37">
        <v>21</v>
      </c>
      <c r="AO94" s="37">
        <f>G94*0.257793792</f>
        <v>0</v>
      </c>
      <c r="AP94" s="37">
        <f>G94*(1-0.257793792)</f>
        <v>0</v>
      </c>
      <c r="AQ94" s="68" t="s">
        <v>213</v>
      </c>
      <c r="AV94" s="37">
        <f t="shared" si="80"/>
        <v>0</v>
      </c>
      <c r="AW94" s="37">
        <f t="shared" si="81"/>
        <v>0</v>
      </c>
      <c r="AX94" s="37">
        <f t="shared" si="82"/>
        <v>0</v>
      </c>
      <c r="AY94" s="68" t="s">
        <v>413</v>
      </c>
      <c r="AZ94" s="68" t="s">
        <v>403</v>
      </c>
      <c r="BA94" s="49" t="s">
        <v>220</v>
      </c>
      <c r="BC94" s="37">
        <f t="shared" si="83"/>
        <v>0</v>
      </c>
      <c r="BD94" s="37">
        <f t="shared" si="84"/>
        <v>0</v>
      </c>
      <c r="BE94" s="37">
        <v>0</v>
      </c>
      <c r="BF94" s="37">
        <f>94</f>
        <v>94</v>
      </c>
      <c r="BH94" s="37">
        <f t="shared" si="85"/>
        <v>0</v>
      </c>
      <c r="BI94" s="37">
        <f t="shared" si="86"/>
        <v>0</v>
      </c>
      <c r="BJ94" s="37">
        <f t="shared" si="87"/>
        <v>0</v>
      </c>
      <c r="BK94" s="37"/>
      <c r="BL94" s="37">
        <v>62</v>
      </c>
      <c r="BW94" s="37">
        <v>21</v>
      </c>
      <c r="BX94" s="3" t="s">
        <v>426</v>
      </c>
    </row>
    <row r="95" spans="1:76" x14ac:dyDescent="0.25">
      <c r="A95" s="1" t="s">
        <v>427</v>
      </c>
      <c r="B95" s="2" t="s">
        <v>428</v>
      </c>
      <c r="C95" s="258" t="s">
        <v>429</v>
      </c>
      <c r="D95" s="259"/>
      <c r="E95" s="2" t="s">
        <v>251</v>
      </c>
      <c r="F95" s="37">
        <v>257.01330000000002</v>
      </c>
      <c r="G95" s="66">
        <v>0</v>
      </c>
      <c r="H95" s="37">
        <f t="shared" si="66"/>
        <v>0</v>
      </c>
      <c r="I95" s="37">
        <f t="shared" si="67"/>
        <v>0</v>
      </c>
      <c r="J95" s="37">
        <f t="shared" si="68"/>
        <v>0</v>
      </c>
      <c r="K95" s="67" t="s">
        <v>217</v>
      </c>
      <c r="Z95" s="37">
        <f t="shared" si="69"/>
        <v>0</v>
      </c>
      <c r="AB95" s="37">
        <f t="shared" si="70"/>
        <v>0</v>
      </c>
      <c r="AC95" s="37">
        <f t="shared" si="71"/>
        <v>0</v>
      </c>
      <c r="AD95" s="37">
        <f t="shared" si="72"/>
        <v>0</v>
      </c>
      <c r="AE95" s="37">
        <f t="shared" si="73"/>
        <v>0</v>
      </c>
      <c r="AF95" s="37">
        <f t="shared" si="74"/>
        <v>0</v>
      </c>
      <c r="AG95" s="37">
        <f t="shared" si="75"/>
        <v>0</v>
      </c>
      <c r="AH95" s="37">
        <f t="shared" si="76"/>
        <v>0</v>
      </c>
      <c r="AI95" s="49" t="s">
        <v>89</v>
      </c>
      <c r="AJ95" s="37">
        <f t="shared" si="77"/>
        <v>0</v>
      </c>
      <c r="AK95" s="37">
        <f t="shared" si="78"/>
        <v>0</v>
      </c>
      <c r="AL95" s="37">
        <f t="shared" si="79"/>
        <v>0</v>
      </c>
      <c r="AN95" s="37">
        <v>21</v>
      </c>
      <c r="AO95" s="37">
        <f>G95*0.073294615</f>
        <v>0</v>
      </c>
      <c r="AP95" s="37">
        <f>G95*(1-0.073294615)</f>
        <v>0</v>
      </c>
      <c r="AQ95" s="68" t="s">
        <v>213</v>
      </c>
      <c r="AV95" s="37">
        <f t="shared" si="80"/>
        <v>0</v>
      </c>
      <c r="AW95" s="37">
        <f t="shared" si="81"/>
        <v>0</v>
      </c>
      <c r="AX95" s="37">
        <f t="shared" si="82"/>
        <v>0</v>
      </c>
      <c r="AY95" s="68" t="s">
        <v>413</v>
      </c>
      <c r="AZ95" s="68" t="s">
        <v>403</v>
      </c>
      <c r="BA95" s="49" t="s">
        <v>220</v>
      </c>
      <c r="BC95" s="37">
        <f t="shared" si="83"/>
        <v>0</v>
      </c>
      <c r="BD95" s="37">
        <f t="shared" si="84"/>
        <v>0</v>
      </c>
      <c r="BE95" s="37">
        <v>0</v>
      </c>
      <c r="BF95" s="37">
        <f>95</f>
        <v>95</v>
      </c>
      <c r="BH95" s="37">
        <f t="shared" si="85"/>
        <v>0</v>
      </c>
      <c r="BI95" s="37">
        <f t="shared" si="86"/>
        <v>0</v>
      </c>
      <c r="BJ95" s="37">
        <f t="shared" si="87"/>
        <v>0</v>
      </c>
      <c r="BK95" s="37"/>
      <c r="BL95" s="37">
        <v>62</v>
      </c>
      <c r="BW95" s="37">
        <v>21</v>
      </c>
      <c r="BX95" s="3" t="s">
        <v>429</v>
      </c>
    </row>
    <row r="96" spans="1:76" x14ac:dyDescent="0.25">
      <c r="A96" s="1" t="s">
        <v>430</v>
      </c>
      <c r="B96" s="2" t="s">
        <v>431</v>
      </c>
      <c r="C96" s="258" t="s">
        <v>432</v>
      </c>
      <c r="D96" s="259"/>
      <c r="E96" s="2" t="s">
        <v>313</v>
      </c>
      <c r="F96" s="37">
        <v>112.04</v>
      </c>
      <c r="G96" s="66">
        <v>0</v>
      </c>
      <c r="H96" s="37">
        <f t="shared" si="66"/>
        <v>0</v>
      </c>
      <c r="I96" s="37">
        <f t="shared" si="67"/>
        <v>0</v>
      </c>
      <c r="J96" s="37">
        <f t="shared" si="68"/>
        <v>0</v>
      </c>
      <c r="K96" s="67" t="s">
        <v>217</v>
      </c>
      <c r="Z96" s="37">
        <f t="shared" si="69"/>
        <v>0</v>
      </c>
      <c r="AB96" s="37">
        <f t="shared" si="70"/>
        <v>0</v>
      </c>
      <c r="AC96" s="37">
        <f t="shared" si="71"/>
        <v>0</v>
      </c>
      <c r="AD96" s="37">
        <f t="shared" si="72"/>
        <v>0</v>
      </c>
      <c r="AE96" s="37">
        <f t="shared" si="73"/>
        <v>0</v>
      </c>
      <c r="AF96" s="37">
        <f t="shared" si="74"/>
        <v>0</v>
      </c>
      <c r="AG96" s="37">
        <f t="shared" si="75"/>
        <v>0</v>
      </c>
      <c r="AH96" s="37">
        <f t="shared" si="76"/>
        <v>0</v>
      </c>
      <c r="AI96" s="49" t="s">
        <v>89</v>
      </c>
      <c r="AJ96" s="37">
        <f t="shared" si="77"/>
        <v>0</v>
      </c>
      <c r="AK96" s="37">
        <f t="shared" si="78"/>
        <v>0</v>
      </c>
      <c r="AL96" s="37">
        <f t="shared" si="79"/>
        <v>0</v>
      </c>
      <c r="AN96" s="37">
        <v>21</v>
      </c>
      <c r="AO96" s="37">
        <f>G96*0.511443823</f>
        <v>0</v>
      </c>
      <c r="AP96" s="37">
        <f>G96*(1-0.511443823)</f>
        <v>0</v>
      </c>
      <c r="AQ96" s="68" t="s">
        <v>213</v>
      </c>
      <c r="AV96" s="37">
        <f t="shared" si="80"/>
        <v>0</v>
      </c>
      <c r="AW96" s="37">
        <f t="shared" si="81"/>
        <v>0</v>
      </c>
      <c r="AX96" s="37">
        <f t="shared" si="82"/>
        <v>0</v>
      </c>
      <c r="AY96" s="68" t="s">
        <v>413</v>
      </c>
      <c r="AZ96" s="68" t="s">
        <v>403</v>
      </c>
      <c r="BA96" s="49" t="s">
        <v>220</v>
      </c>
      <c r="BC96" s="37">
        <f t="shared" si="83"/>
        <v>0</v>
      </c>
      <c r="BD96" s="37">
        <f t="shared" si="84"/>
        <v>0</v>
      </c>
      <c r="BE96" s="37">
        <v>0</v>
      </c>
      <c r="BF96" s="37">
        <f>96</f>
        <v>96</v>
      </c>
      <c r="BH96" s="37">
        <f t="shared" si="85"/>
        <v>0</v>
      </c>
      <c r="BI96" s="37">
        <f t="shared" si="86"/>
        <v>0</v>
      </c>
      <c r="BJ96" s="37">
        <f t="shared" si="87"/>
        <v>0</v>
      </c>
      <c r="BK96" s="37"/>
      <c r="BL96" s="37">
        <v>62</v>
      </c>
      <c r="BW96" s="37">
        <v>21</v>
      </c>
      <c r="BX96" s="3" t="s">
        <v>432</v>
      </c>
    </row>
    <row r="97" spans="1:76" x14ac:dyDescent="0.25">
      <c r="A97" s="61" t="s">
        <v>4</v>
      </c>
      <c r="B97" s="62" t="s">
        <v>121</v>
      </c>
      <c r="C97" s="343" t="s">
        <v>122</v>
      </c>
      <c r="D97" s="344"/>
      <c r="E97" s="63" t="s">
        <v>81</v>
      </c>
      <c r="F97" s="63" t="s">
        <v>81</v>
      </c>
      <c r="G97" s="64" t="s">
        <v>81</v>
      </c>
      <c r="H97" s="43">
        <f>SUM(H98:H99)</f>
        <v>0</v>
      </c>
      <c r="I97" s="43">
        <f>SUM(I98:I99)</f>
        <v>0</v>
      </c>
      <c r="J97" s="43">
        <f>SUM(J98:J99)</f>
        <v>0</v>
      </c>
      <c r="K97" s="65" t="s">
        <v>4</v>
      </c>
      <c r="AI97" s="49" t="s">
        <v>89</v>
      </c>
      <c r="AS97" s="43">
        <f>SUM(AJ98:AJ99)</f>
        <v>0</v>
      </c>
      <c r="AT97" s="43">
        <f>SUM(AK98:AK99)</f>
        <v>0</v>
      </c>
      <c r="AU97" s="43">
        <f>SUM(AL98:AL99)</f>
        <v>0</v>
      </c>
    </row>
    <row r="98" spans="1:76" x14ac:dyDescent="0.25">
      <c r="A98" s="1" t="s">
        <v>433</v>
      </c>
      <c r="B98" s="2" t="s">
        <v>434</v>
      </c>
      <c r="C98" s="258" t="s">
        <v>435</v>
      </c>
      <c r="D98" s="259"/>
      <c r="E98" s="2" t="s">
        <v>251</v>
      </c>
      <c r="F98" s="37">
        <v>39.35</v>
      </c>
      <c r="G98" s="66">
        <v>0</v>
      </c>
      <c r="H98" s="37">
        <f>F98*AO98</f>
        <v>0</v>
      </c>
      <c r="I98" s="37">
        <f>F98*AP98</f>
        <v>0</v>
      </c>
      <c r="J98" s="37">
        <f>F98*G98</f>
        <v>0</v>
      </c>
      <c r="K98" s="67" t="s">
        <v>217</v>
      </c>
      <c r="Z98" s="37">
        <f>IF(AQ98="5",BJ98,0)</f>
        <v>0</v>
      </c>
      <c r="AB98" s="37">
        <f>IF(AQ98="1",BH98,0)</f>
        <v>0</v>
      </c>
      <c r="AC98" s="37">
        <f>IF(AQ98="1",BI98,0)</f>
        <v>0</v>
      </c>
      <c r="AD98" s="37">
        <f>IF(AQ98="7",BH98,0)</f>
        <v>0</v>
      </c>
      <c r="AE98" s="37">
        <f>IF(AQ98="7",BI98,0)</f>
        <v>0</v>
      </c>
      <c r="AF98" s="37">
        <f>IF(AQ98="2",BH98,0)</f>
        <v>0</v>
      </c>
      <c r="AG98" s="37">
        <f>IF(AQ98="2",BI98,0)</f>
        <v>0</v>
      </c>
      <c r="AH98" s="37">
        <f>IF(AQ98="0",BJ98,0)</f>
        <v>0</v>
      </c>
      <c r="AI98" s="49" t="s">
        <v>89</v>
      </c>
      <c r="AJ98" s="37">
        <f>IF(AN98=0,J98,0)</f>
        <v>0</v>
      </c>
      <c r="AK98" s="37">
        <f>IF(AN98=12,J98,0)</f>
        <v>0</v>
      </c>
      <c r="AL98" s="37">
        <f>IF(AN98=21,J98,0)</f>
        <v>0</v>
      </c>
      <c r="AN98" s="37">
        <v>21</v>
      </c>
      <c r="AO98" s="37">
        <f>G98*0.807185484</f>
        <v>0</v>
      </c>
      <c r="AP98" s="37">
        <f>G98*(1-0.807185484)</f>
        <v>0</v>
      </c>
      <c r="AQ98" s="68" t="s">
        <v>213</v>
      </c>
      <c r="AV98" s="37">
        <f>AW98+AX98</f>
        <v>0</v>
      </c>
      <c r="AW98" s="37">
        <f>F98*AO98</f>
        <v>0</v>
      </c>
      <c r="AX98" s="37">
        <f>F98*AP98</f>
        <v>0</v>
      </c>
      <c r="AY98" s="68" t="s">
        <v>436</v>
      </c>
      <c r="AZ98" s="68" t="s">
        <v>403</v>
      </c>
      <c r="BA98" s="49" t="s">
        <v>220</v>
      </c>
      <c r="BC98" s="37">
        <f>AW98+AX98</f>
        <v>0</v>
      </c>
      <c r="BD98" s="37">
        <f>G98/(100-BE98)*100</f>
        <v>0</v>
      </c>
      <c r="BE98" s="37">
        <v>0</v>
      </c>
      <c r="BF98" s="37">
        <f>98</f>
        <v>98</v>
      </c>
      <c r="BH98" s="37">
        <f>F98*AO98</f>
        <v>0</v>
      </c>
      <c r="BI98" s="37">
        <f>F98*AP98</f>
        <v>0</v>
      </c>
      <c r="BJ98" s="37">
        <f>F98*G98</f>
        <v>0</v>
      </c>
      <c r="BK98" s="37"/>
      <c r="BL98" s="37">
        <v>63</v>
      </c>
      <c r="BW98" s="37">
        <v>21</v>
      </c>
      <c r="BX98" s="3" t="s">
        <v>435</v>
      </c>
    </row>
    <row r="99" spans="1:76" x14ac:dyDescent="0.25">
      <c r="A99" s="1" t="s">
        <v>437</v>
      </c>
      <c r="B99" s="2" t="s">
        <v>438</v>
      </c>
      <c r="C99" s="258" t="s">
        <v>439</v>
      </c>
      <c r="D99" s="259"/>
      <c r="E99" s="2" t="s">
        <v>251</v>
      </c>
      <c r="F99" s="37">
        <v>39.35</v>
      </c>
      <c r="G99" s="66">
        <v>0</v>
      </c>
      <c r="H99" s="37">
        <f>F99*AO99</f>
        <v>0</v>
      </c>
      <c r="I99" s="37">
        <f>F99*AP99</f>
        <v>0</v>
      </c>
      <c r="J99" s="37">
        <f>F99*G99</f>
        <v>0</v>
      </c>
      <c r="K99" s="67" t="s">
        <v>217</v>
      </c>
      <c r="Z99" s="37">
        <f>IF(AQ99="5",BJ99,0)</f>
        <v>0</v>
      </c>
      <c r="AB99" s="37">
        <f>IF(AQ99="1",BH99,0)</f>
        <v>0</v>
      </c>
      <c r="AC99" s="37">
        <f>IF(AQ99="1",BI99,0)</f>
        <v>0</v>
      </c>
      <c r="AD99" s="37">
        <f>IF(AQ99="7",BH99,0)</f>
        <v>0</v>
      </c>
      <c r="AE99" s="37">
        <f>IF(AQ99="7",BI99,0)</f>
        <v>0</v>
      </c>
      <c r="AF99" s="37">
        <f>IF(AQ99="2",BH99,0)</f>
        <v>0</v>
      </c>
      <c r="AG99" s="37">
        <f>IF(AQ99="2",BI99,0)</f>
        <v>0</v>
      </c>
      <c r="AH99" s="37">
        <f>IF(AQ99="0",BJ99,0)</f>
        <v>0</v>
      </c>
      <c r="AI99" s="49" t="s">
        <v>89</v>
      </c>
      <c r="AJ99" s="37">
        <f>IF(AN99=0,J99,0)</f>
        <v>0</v>
      </c>
      <c r="AK99" s="37">
        <f>IF(AN99=12,J99,0)</f>
        <v>0</v>
      </c>
      <c r="AL99" s="37">
        <f>IF(AN99=21,J99,0)</f>
        <v>0</v>
      </c>
      <c r="AN99" s="37">
        <v>21</v>
      </c>
      <c r="AO99" s="37">
        <f>G99*0.774379786</f>
        <v>0</v>
      </c>
      <c r="AP99" s="37">
        <f>G99*(1-0.774379786)</f>
        <v>0</v>
      </c>
      <c r="AQ99" s="68" t="s">
        <v>213</v>
      </c>
      <c r="AV99" s="37">
        <f>AW99+AX99</f>
        <v>0</v>
      </c>
      <c r="AW99" s="37">
        <f>F99*AO99</f>
        <v>0</v>
      </c>
      <c r="AX99" s="37">
        <f>F99*AP99</f>
        <v>0</v>
      </c>
      <c r="AY99" s="68" t="s">
        <v>436</v>
      </c>
      <c r="AZ99" s="68" t="s">
        <v>403</v>
      </c>
      <c r="BA99" s="49" t="s">
        <v>220</v>
      </c>
      <c r="BC99" s="37">
        <f>AW99+AX99</f>
        <v>0</v>
      </c>
      <c r="BD99" s="37">
        <f>G99/(100-BE99)*100</f>
        <v>0</v>
      </c>
      <c r="BE99" s="37">
        <v>0</v>
      </c>
      <c r="BF99" s="37">
        <f>99</f>
        <v>99</v>
      </c>
      <c r="BH99" s="37">
        <f>F99*AO99</f>
        <v>0</v>
      </c>
      <c r="BI99" s="37">
        <f>F99*AP99</f>
        <v>0</v>
      </c>
      <c r="BJ99" s="37">
        <f>F99*G99</f>
        <v>0</v>
      </c>
      <c r="BK99" s="37"/>
      <c r="BL99" s="37">
        <v>63</v>
      </c>
      <c r="BW99" s="37">
        <v>21</v>
      </c>
      <c r="BX99" s="3" t="s">
        <v>439</v>
      </c>
    </row>
    <row r="100" spans="1:76" x14ac:dyDescent="0.25">
      <c r="A100" s="61" t="s">
        <v>4</v>
      </c>
      <c r="B100" s="62" t="s">
        <v>123</v>
      </c>
      <c r="C100" s="343" t="s">
        <v>124</v>
      </c>
      <c r="D100" s="344"/>
      <c r="E100" s="63" t="s">
        <v>81</v>
      </c>
      <c r="F100" s="63" t="s">
        <v>81</v>
      </c>
      <c r="G100" s="64" t="s">
        <v>81</v>
      </c>
      <c r="H100" s="43">
        <f>SUM(H101:H102)</f>
        <v>0</v>
      </c>
      <c r="I100" s="43">
        <f>SUM(I101:I102)</f>
        <v>0</v>
      </c>
      <c r="J100" s="43">
        <f>SUM(J101:J102)</f>
        <v>0</v>
      </c>
      <c r="K100" s="65" t="s">
        <v>4</v>
      </c>
      <c r="AI100" s="49" t="s">
        <v>89</v>
      </c>
      <c r="AS100" s="43">
        <f>SUM(AJ101:AJ102)</f>
        <v>0</v>
      </c>
      <c r="AT100" s="43">
        <f>SUM(AK101:AK102)</f>
        <v>0</v>
      </c>
      <c r="AU100" s="43">
        <f>SUM(AL101:AL102)</f>
        <v>0</v>
      </c>
    </row>
    <row r="101" spans="1:76" ht="25.5" x14ac:dyDescent="0.25">
      <c r="A101" s="1" t="s">
        <v>440</v>
      </c>
      <c r="B101" s="2" t="s">
        <v>441</v>
      </c>
      <c r="C101" s="258" t="s">
        <v>442</v>
      </c>
      <c r="D101" s="259"/>
      <c r="E101" s="2" t="s">
        <v>313</v>
      </c>
      <c r="F101" s="37">
        <v>22.6</v>
      </c>
      <c r="G101" s="66">
        <v>0</v>
      </c>
      <c r="H101" s="37">
        <f>F101*AO101</f>
        <v>0</v>
      </c>
      <c r="I101" s="37">
        <f>F101*AP101</f>
        <v>0</v>
      </c>
      <c r="J101" s="37">
        <f>F101*G101</f>
        <v>0</v>
      </c>
      <c r="K101" s="67" t="s">
        <v>217</v>
      </c>
      <c r="Z101" s="37">
        <f>IF(AQ101="5",BJ101,0)</f>
        <v>0</v>
      </c>
      <c r="AB101" s="37">
        <f>IF(AQ101="1",BH101,0)</f>
        <v>0</v>
      </c>
      <c r="AC101" s="37">
        <f>IF(AQ101="1",BI101,0)</f>
        <v>0</v>
      </c>
      <c r="AD101" s="37">
        <f>IF(AQ101="7",BH101,0)</f>
        <v>0</v>
      </c>
      <c r="AE101" s="37">
        <f>IF(AQ101="7",BI101,0)</f>
        <v>0</v>
      </c>
      <c r="AF101" s="37">
        <f>IF(AQ101="2",BH101,0)</f>
        <v>0</v>
      </c>
      <c r="AG101" s="37">
        <f>IF(AQ101="2",BI101,0)</f>
        <v>0</v>
      </c>
      <c r="AH101" s="37">
        <f>IF(AQ101="0",BJ101,0)</f>
        <v>0</v>
      </c>
      <c r="AI101" s="49" t="s">
        <v>89</v>
      </c>
      <c r="AJ101" s="37">
        <f>IF(AN101=0,J101,0)</f>
        <v>0</v>
      </c>
      <c r="AK101" s="37">
        <f>IF(AN101=12,J101,0)</f>
        <v>0</v>
      </c>
      <c r="AL101" s="37">
        <f>IF(AN101=21,J101,0)</f>
        <v>0</v>
      </c>
      <c r="AN101" s="37">
        <v>21</v>
      </c>
      <c r="AO101" s="37">
        <f>G101*0.562416774</f>
        <v>0</v>
      </c>
      <c r="AP101" s="37">
        <f>G101*(1-0.562416774)</f>
        <v>0</v>
      </c>
      <c r="AQ101" s="68" t="s">
        <v>213</v>
      </c>
      <c r="AV101" s="37">
        <f>AW101+AX101</f>
        <v>0</v>
      </c>
      <c r="AW101" s="37">
        <f>F101*AO101</f>
        <v>0</v>
      </c>
      <c r="AX101" s="37">
        <f>F101*AP101</f>
        <v>0</v>
      </c>
      <c r="AY101" s="68" t="s">
        <v>443</v>
      </c>
      <c r="AZ101" s="68" t="s">
        <v>403</v>
      </c>
      <c r="BA101" s="49" t="s">
        <v>220</v>
      </c>
      <c r="BC101" s="37">
        <f>AW101+AX101</f>
        <v>0</v>
      </c>
      <c r="BD101" s="37">
        <f>G101/(100-BE101)*100</f>
        <v>0</v>
      </c>
      <c r="BE101" s="37">
        <v>0</v>
      </c>
      <c r="BF101" s="37">
        <f>101</f>
        <v>101</v>
      </c>
      <c r="BH101" s="37">
        <f>F101*AO101</f>
        <v>0</v>
      </c>
      <c r="BI101" s="37">
        <f>F101*AP101</f>
        <v>0</v>
      </c>
      <c r="BJ101" s="37">
        <f>F101*G101</f>
        <v>0</v>
      </c>
      <c r="BK101" s="37"/>
      <c r="BL101" s="37">
        <v>64</v>
      </c>
      <c r="BW101" s="37">
        <v>21</v>
      </c>
      <c r="BX101" s="3" t="s">
        <v>442</v>
      </c>
    </row>
    <row r="102" spans="1:76" x14ac:dyDescent="0.25">
      <c r="A102" s="1" t="s">
        <v>139</v>
      </c>
      <c r="B102" s="2" t="s">
        <v>444</v>
      </c>
      <c r="C102" s="258" t="s">
        <v>445</v>
      </c>
      <c r="D102" s="259"/>
      <c r="E102" s="2" t="s">
        <v>266</v>
      </c>
      <c r="F102" s="37">
        <v>95.289860000000004</v>
      </c>
      <c r="G102" s="66">
        <v>0</v>
      </c>
      <c r="H102" s="37">
        <f>F102*AO102</f>
        <v>0</v>
      </c>
      <c r="I102" s="37">
        <f>F102*AP102</f>
        <v>0</v>
      </c>
      <c r="J102" s="37">
        <f>F102*G102</f>
        <v>0</v>
      </c>
      <c r="K102" s="67" t="s">
        <v>217</v>
      </c>
      <c r="Z102" s="37">
        <f>IF(AQ102="5",BJ102,0)</f>
        <v>0</v>
      </c>
      <c r="AB102" s="37">
        <f>IF(AQ102="1",BH102,0)</f>
        <v>0</v>
      </c>
      <c r="AC102" s="37">
        <f>IF(AQ102="1",BI102,0)</f>
        <v>0</v>
      </c>
      <c r="AD102" s="37">
        <f>IF(AQ102="7",BH102,0)</f>
        <v>0</v>
      </c>
      <c r="AE102" s="37">
        <f>IF(AQ102="7",BI102,0)</f>
        <v>0</v>
      </c>
      <c r="AF102" s="37">
        <f>IF(AQ102="2",BH102,0)</f>
        <v>0</v>
      </c>
      <c r="AG102" s="37">
        <f>IF(AQ102="2",BI102,0)</f>
        <v>0</v>
      </c>
      <c r="AH102" s="37">
        <f>IF(AQ102="0",BJ102,0)</f>
        <v>0</v>
      </c>
      <c r="AI102" s="49" t="s">
        <v>89</v>
      </c>
      <c r="AJ102" s="37">
        <f>IF(AN102=0,J102,0)</f>
        <v>0</v>
      </c>
      <c r="AK102" s="37">
        <f>IF(AN102=12,J102,0)</f>
        <v>0</v>
      </c>
      <c r="AL102" s="37">
        <f>IF(AN102=21,J102,0)</f>
        <v>0</v>
      </c>
      <c r="AN102" s="37">
        <v>21</v>
      </c>
      <c r="AO102" s="37">
        <f>G102*0</f>
        <v>0</v>
      </c>
      <c r="AP102" s="37">
        <f>G102*(1-0)</f>
        <v>0</v>
      </c>
      <c r="AQ102" s="68" t="s">
        <v>231</v>
      </c>
      <c r="AV102" s="37">
        <f>AW102+AX102</f>
        <v>0</v>
      </c>
      <c r="AW102" s="37">
        <f>F102*AO102</f>
        <v>0</v>
      </c>
      <c r="AX102" s="37">
        <f>F102*AP102</f>
        <v>0</v>
      </c>
      <c r="AY102" s="68" t="s">
        <v>443</v>
      </c>
      <c r="AZ102" s="68" t="s">
        <v>403</v>
      </c>
      <c r="BA102" s="49" t="s">
        <v>220</v>
      </c>
      <c r="BC102" s="37">
        <f>AW102+AX102</f>
        <v>0</v>
      </c>
      <c r="BD102" s="37">
        <f>G102/(100-BE102)*100</f>
        <v>0</v>
      </c>
      <c r="BE102" s="37">
        <v>0</v>
      </c>
      <c r="BF102" s="37">
        <f>102</f>
        <v>102</v>
      </c>
      <c r="BH102" s="37">
        <f>F102*AO102</f>
        <v>0</v>
      </c>
      <c r="BI102" s="37">
        <f>F102*AP102</f>
        <v>0</v>
      </c>
      <c r="BJ102" s="37">
        <f>F102*G102</f>
        <v>0</v>
      </c>
      <c r="BK102" s="37"/>
      <c r="BL102" s="37">
        <v>64</v>
      </c>
      <c r="BW102" s="37">
        <v>21</v>
      </c>
      <c r="BX102" s="3" t="s">
        <v>445</v>
      </c>
    </row>
    <row r="103" spans="1:76" x14ac:dyDescent="0.25">
      <c r="A103" s="61" t="s">
        <v>4</v>
      </c>
      <c r="B103" s="62" t="s">
        <v>125</v>
      </c>
      <c r="C103" s="343" t="s">
        <v>126</v>
      </c>
      <c r="D103" s="344"/>
      <c r="E103" s="63" t="s">
        <v>81</v>
      </c>
      <c r="F103" s="63" t="s">
        <v>81</v>
      </c>
      <c r="G103" s="64" t="s">
        <v>81</v>
      </c>
      <c r="H103" s="43">
        <f>SUM(H104:H107)</f>
        <v>0</v>
      </c>
      <c r="I103" s="43">
        <f>SUM(I104:I107)</f>
        <v>0</v>
      </c>
      <c r="J103" s="43">
        <f>SUM(J104:J107)</f>
        <v>0</v>
      </c>
      <c r="K103" s="65" t="s">
        <v>4</v>
      </c>
      <c r="AI103" s="49" t="s">
        <v>89</v>
      </c>
      <c r="AS103" s="43">
        <f>SUM(AJ104:AJ107)</f>
        <v>0</v>
      </c>
      <c r="AT103" s="43">
        <f>SUM(AK104:AK107)</f>
        <v>0</v>
      </c>
      <c r="AU103" s="43">
        <f>SUM(AL104:AL107)</f>
        <v>0</v>
      </c>
    </row>
    <row r="104" spans="1:76" ht="25.5" x14ac:dyDescent="0.25">
      <c r="A104" s="1" t="s">
        <v>446</v>
      </c>
      <c r="B104" s="2" t="s">
        <v>447</v>
      </c>
      <c r="C104" s="258" t="s">
        <v>448</v>
      </c>
      <c r="D104" s="259"/>
      <c r="E104" s="2" t="s">
        <v>251</v>
      </c>
      <c r="F104" s="37">
        <v>10.9823</v>
      </c>
      <c r="G104" s="66">
        <v>0</v>
      </c>
      <c r="H104" s="37">
        <f>F104*AO104</f>
        <v>0</v>
      </c>
      <c r="I104" s="37">
        <f>F104*AP104</f>
        <v>0</v>
      </c>
      <c r="J104" s="37">
        <f>F104*G104</f>
        <v>0</v>
      </c>
      <c r="K104" s="67" t="s">
        <v>217</v>
      </c>
      <c r="Z104" s="37">
        <f>IF(AQ104="5",BJ104,0)</f>
        <v>0</v>
      </c>
      <c r="AB104" s="37">
        <f>IF(AQ104="1",BH104,0)</f>
        <v>0</v>
      </c>
      <c r="AC104" s="37">
        <f>IF(AQ104="1",BI104,0)</f>
        <v>0</v>
      </c>
      <c r="AD104" s="37">
        <f>IF(AQ104="7",BH104,0)</f>
        <v>0</v>
      </c>
      <c r="AE104" s="37">
        <f>IF(AQ104="7",BI104,0)</f>
        <v>0</v>
      </c>
      <c r="AF104" s="37">
        <f>IF(AQ104="2",BH104,0)</f>
        <v>0</v>
      </c>
      <c r="AG104" s="37">
        <f>IF(AQ104="2",BI104,0)</f>
        <v>0</v>
      </c>
      <c r="AH104" s="37">
        <f>IF(AQ104="0",BJ104,0)</f>
        <v>0</v>
      </c>
      <c r="AI104" s="49" t="s">
        <v>89</v>
      </c>
      <c r="AJ104" s="37">
        <f>IF(AN104=0,J104,0)</f>
        <v>0</v>
      </c>
      <c r="AK104" s="37">
        <f>IF(AN104=12,J104,0)</f>
        <v>0</v>
      </c>
      <c r="AL104" s="37">
        <f>IF(AN104=21,J104,0)</f>
        <v>0</v>
      </c>
      <c r="AN104" s="37">
        <v>21</v>
      </c>
      <c r="AO104" s="37">
        <f>G104*0.722025689</f>
        <v>0</v>
      </c>
      <c r="AP104" s="37">
        <f>G104*(1-0.722025689)</f>
        <v>0</v>
      </c>
      <c r="AQ104" s="68" t="s">
        <v>237</v>
      </c>
      <c r="AV104" s="37">
        <f>AW104+AX104</f>
        <v>0</v>
      </c>
      <c r="AW104" s="37">
        <f>F104*AO104</f>
        <v>0</v>
      </c>
      <c r="AX104" s="37">
        <f>F104*AP104</f>
        <v>0</v>
      </c>
      <c r="AY104" s="68" t="s">
        <v>449</v>
      </c>
      <c r="AZ104" s="68" t="s">
        <v>450</v>
      </c>
      <c r="BA104" s="49" t="s">
        <v>220</v>
      </c>
      <c r="BC104" s="37">
        <f>AW104+AX104</f>
        <v>0</v>
      </c>
      <c r="BD104" s="37">
        <f>G104/(100-BE104)*100</f>
        <v>0</v>
      </c>
      <c r="BE104" s="37">
        <v>0</v>
      </c>
      <c r="BF104" s="37">
        <f>104</f>
        <v>104</v>
      </c>
      <c r="BH104" s="37">
        <f>F104*AO104</f>
        <v>0</v>
      </c>
      <c r="BI104" s="37">
        <f>F104*AP104</f>
        <v>0</v>
      </c>
      <c r="BJ104" s="37">
        <f>F104*G104</f>
        <v>0</v>
      </c>
      <c r="BK104" s="37"/>
      <c r="BL104" s="37">
        <v>711</v>
      </c>
      <c r="BW104" s="37">
        <v>21</v>
      </c>
      <c r="BX104" s="3" t="s">
        <v>448</v>
      </c>
    </row>
    <row r="105" spans="1:76" ht="25.5" x14ac:dyDescent="0.25">
      <c r="A105" s="1" t="s">
        <v>451</v>
      </c>
      <c r="B105" s="2" t="s">
        <v>452</v>
      </c>
      <c r="C105" s="258" t="s">
        <v>453</v>
      </c>
      <c r="D105" s="259"/>
      <c r="E105" s="2" t="s">
        <v>251</v>
      </c>
      <c r="F105" s="37">
        <v>13.17876</v>
      </c>
      <c r="G105" s="66">
        <v>0</v>
      </c>
      <c r="H105" s="37">
        <f>F105*AO105</f>
        <v>0</v>
      </c>
      <c r="I105" s="37">
        <f>F105*AP105</f>
        <v>0</v>
      </c>
      <c r="J105" s="37">
        <f>F105*G105</f>
        <v>0</v>
      </c>
      <c r="K105" s="67" t="s">
        <v>217</v>
      </c>
      <c r="Z105" s="37">
        <f>IF(AQ105="5",BJ105,0)</f>
        <v>0</v>
      </c>
      <c r="AB105" s="37">
        <f>IF(AQ105="1",BH105,0)</f>
        <v>0</v>
      </c>
      <c r="AC105" s="37">
        <f>IF(AQ105="1",BI105,0)</f>
        <v>0</v>
      </c>
      <c r="AD105" s="37">
        <f>IF(AQ105="7",BH105,0)</f>
        <v>0</v>
      </c>
      <c r="AE105" s="37">
        <f>IF(AQ105="7",BI105,0)</f>
        <v>0</v>
      </c>
      <c r="AF105" s="37">
        <f>IF(AQ105="2",BH105,0)</f>
        <v>0</v>
      </c>
      <c r="AG105" s="37">
        <f>IF(AQ105="2",BI105,0)</f>
        <v>0</v>
      </c>
      <c r="AH105" s="37">
        <f>IF(AQ105="0",BJ105,0)</f>
        <v>0</v>
      </c>
      <c r="AI105" s="49" t="s">
        <v>89</v>
      </c>
      <c r="AJ105" s="37">
        <f>IF(AN105=0,J105,0)</f>
        <v>0</v>
      </c>
      <c r="AK105" s="37">
        <f>IF(AN105=12,J105,0)</f>
        <v>0</v>
      </c>
      <c r="AL105" s="37">
        <f>IF(AN105=21,J105,0)</f>
        <v>0</v>
      </c>
      <c r="AN105" s="37">
        <v>21</v>
      </c>
      <c r="AO105" s="37">
        <f>G105*0.75666057</f>
        <v>0</v>
      </c>
      <c r="AP105" s="37">
        <f>G105*(1-0.75666057)</f>
        <v>0</v>
      </c>
      <c r="AQ105" s="68" t="s">
        <v>237</v>
      </c>
      <c r="AV105" s="37">
        <f>AW105+AX105</f>
        <v>0</v>
      </c>
      <c r="AW105" s="37">
        <f>F105*AO105</f>
        <v>0</v>
      </c>
      <c r="AX105" s="37">
        <f>F105*AP105</f>
        <v>0</v>
      </c>
      <c r="AY105" s="68" t="s">
        <v>449</v>
      </c>
      <c r="AZ105" s="68" t="s">
        <v>450</v>
      </c>
      <c r="BA105" s="49" t="s">
        <v>220</v>
      </c>
      <c r="BC105" s="37">
        <f>AW105+AX105</f>
        <v>0</v>
      </c>
      <c r="BD105" s="37">
        <f>G105/(100-BE105)*100</f>
        <v>0</v>
      </c>
      <c r="BE105" s="37">
        <v>0</v>
      </c>
      <c r="BF105" s="37">
        <f>105</f>
        <v>105</v>
      </c>
      <c r="BH105" s="37">
        <f>F105*AO105</f>
        <v>0</v>
      </c>
      <c r="BI105" s="37">
        <f>F105*AP105</f>
        <v>0</v>
      </c>
      <c r="BJ105" s="37">
        <f>F105*G105</f>
        <v>0</v>
      </c>
      <c r="BK105" s="37"/>
      <c r="BL105" s="37">
        <v>711</v>
      </c>
      <c r="BW105" s="37">
        <v>21</v>
      </c>
      <c r="BX105" s="3" t="s">
        <v>453</v>
      </c>
    </row>
    <row r="106" spans="1:76" ht="25.5" x14ac:dyDescent="0.25">
      <c r="A106" s="1" t="s">
        <v>454</v>
      </c>
      <c r="B106" s="2" t="s">
        <v>455</v>
      </c>
      <c r="C106" s="258" t="s">
        <v>456</v>
      </c>
      <c r="D106" s="259"/>
      <c r="E106" s="2" t="s">
        <v>251</v>
      </c>
      <c r="F106" s="37">
        <v>12.62965</v>
      </c>
      <c r="G106" s="66">
        <v>0</v>
      </c>
      <c r="H106" s="37">
        <f>F106*AO106</f>
        <v>0</v>
      </c>
      <c r="I106" s="37">
        <f>F106*AP106</f>
        <v>0</v>
      </c>
      <c r="J106" s="37">
        <f>F106*G106</f>
        <v>0</v>
      </c>
      <c r="K106" s="67" t="s">
        <v>217</v>
      </c>
      <c r="Z106" s="37">
        <f>IF(AQ106="5",BJ106,0)</f>
        <v>0</v>
      </c>
      <c r="AB106" s="37">
        <f>IF(AQ106="1",BH106,0)</f>
        <v>0</v>
      </c>
      <c r="AC106" s="37">
        <f>IF(AQ106="1",BI106,0)</f>
        <v>0</v>
      </c>
      <c r="AD106" s="37">
        <f>IF(AQ106="7",BH106,0)</f>
        <v>0</v>
      </c>
      <c r="AE106" s="37">
        <f>IF(AQ106="7",BI106,0)</f>
        <v>0</v>
      </c>
      <c r="AF106" s="37">
        <f>IF(AQ106="2",BH106,0)</f>
        <v>0</v>
      </c>
      <c r="AG106" s="37">
        <f>IF(AQ106="2",BI106,0)</f>
        <v>0</v>
      </c>
      <c r="AH106" s="37">
        <f>IF(AQ106="0",BJ106,0)</f>
        <v>0</v>
      </c>
      <c r="AI106" s="49" t="s">
        <v>89</v>
      </c>
      <c r="AJ106" s="37">
        <f>IF(AN106=0,J106,0)</f>
        <v>0</v>
      </c>
      <c r="AK106" s="37">
        <f>IF(AN106=12,J106,0)</f>
        <v>0</v>
      </c>
      <c r="AL106" s="37">
        <f>IF(AN106=21,J106,0)</f>
        <v>0</v>
      </c>
      <c r="AN106" s="37">
        <v>21</v>
      </c>
      <c r="AO106" s="37">
        <f>G106*0.51576949</f>
        <v>0</v>
      </c>
      <c r="AP106" s="37">
        <f>G106*(1-0.51576949)</f>
        <v>0</v>
      </c>
      <c r="AQ106" s="68" t="s">
        <v>237</v>
      </c>
      <c r="AV106" s="37">
        <f>AW106+AX106</f>
        <v>0</v>
      </c>
      <c r="AW106" s="37">
        <f>F106*AO106</f>
        <v>0</v>
      </c>
      <c r="AX106" s="37">
        <f>F106*AP106</f>
        <v>0</v>
      </c>
      <c r="AY106" s="68" t="s">
        <v>449</v>
      </c>
      <c r="AZ106" s="68" t="s">
        <v>450</v>
      </c>
      <c r="BA106" s="49" t="s">
        <v>220</v>
      </c>
      <c r="BC106" s="37">
        <f>AW106+AX106</f>
        <v>0</v>
      </c>
      <c r="BD106" s="37">
        <f>G106/(100-BE106)*100</f>
        <v>0</v>
      </c>
      <c r="BE106" s="37">
        <v>0</v>
      </c>
      <c r="BF106" s="37">
        <f>106</f>
        <v>106</v>
      </c>
      <c r="BH106" s="37">
        <f>F106*AO106</f>
        <v>0</v>
      </c>
      <c r="BI106" s="37">
        <f>F106*AP106</f>
        <v>0</v>
      </c>
      <c r="BJ106" s="37">
        <f>F106*G106</f>
        <v>0</v>
      </c>
      <c r="BK106" s="37"/>
      <c r="BL106" s="37">
        <v>711</v>
      </c>
      <c r="BW106" s="37">
        <v>21</v>
      </c>
      <c r="BX106" s="3" t="s">
        <v>456</v>
      </c>
    </row>
    <row r="107" spans="1:76" x14ac:dyDescent="0.25">
      <c r="A107" s="1" t="s">
        <v>457</v>
      </c>
      <c r="B107" s="2" t="s">
        <v>458</v>
      </c>
      <c r="C107" s="258" t="s">
        <v>459</v>
      </c>
      <c r="D107" s="259"/>
      <c r="E107" s="2" t="s">
        <v>63</v>
      </c>
      <c r="F107" s="37">
        <v>128.24160000000001</v>
      </c>
      <c r="G107" s="66">
        <v>0</v>
      </c>
      <c r="H107" s="37">
        <f>F107*AO107</f>
        <v>0</v>
      </c>
      <c r="I107" s="37">
        <f>F107*AP107</f>
        <v>0</v>
      </c>
      <c r="J107" s="37">
        <f>F107*G107</f>
        <v>0</v>
      </c>
      <c r="K107" s="67" t="s">
        <v>217</v>
      </c>
      <c r="Z107" s="37">
        <f>IF(AQ107="5",BJ107,0)</f>
        <v>0</v>
      </c>
      <c r="AB107" s="37">
        <f>IF(AQ107="1",BH107,0)</f>
        <v>0</v>
      </c>
      <c r="AC107" s="37">
        <f>IF(AQ107="1",BI107,0)</f>
        <v>0</v>
      </c>
      <c r="AD107" s="37">
        <f>IF(AQ107="7",BH107,0)</f>
        <v>0</v>
      </c>
      <c r="AE107" s="37">
        <f>IF(AQ107="7",BI107,0)</f>
        <v>0</v>
      </c>
      <c r="AF107" s="37">
        <f>IF(AQ107="2",BH107,0)</f>
        <v>0</v>
      </c>
      <c r="AG107" s="37">
        <f>IF(AQ107="2",BI107,0)</f>
        <v>0</v>
      </c>
      <c r="AH107" s="37">
        <f>IF(AQ107="0",BJ107,0)</f>
        <v>0</v>
      </c>
      <c r="AI107" s="49" t="s">
        <v>89</v>
      </c>
      <c r="AJ107" s="37">
        <f>IF(AN107=0,J107,0)</f>
        <v>0</v>
      </c>
      <c r="AK107" s="37">
        <f>IF(AN107=12,J107,0)</f>
        <v>0</v>
      </c>
      <c r="AL107" s="37">
        <f>IF(AN107=21,J107,0)</f>
        <v>0</v>
      </c>
      <c r="AN107" s="37">
        <v>21</v>
      </c>
      <c r="AO107" s="37">
        <f>G107*0</f>
        <v>0</v>
      </c>
      <c r="AP107" s="37">
        <f>G107*(1-0)</f>
        <v>0</v>
      </c>
      <c r="AQ107" s="68" t="s">
        <v>231</v>
      </c>
      <c r="AV107" s="37">
        <f>AW107+AX107</f>
        <v>0</v>
      </c>
      <c r="AW107" s="37">
        <f>F107*AO107</f>
        <v>0</v>
      </c>
      <c r="AX107" s="37">
        <f>F107*AP107</f>
        <v>0</v>
      </c>
      <c r="AY107" s="68" t="s">
        <v>449</v>
      </c>
      <c r="AZ107" s="68" t="s">
        <v>450</v>
      </c>
      <c r="BA107" s="49" t="s">
        <v>220</v>
      </c>
      <c r="BC107" s="37">
        <f>AW107+AX107</f>
        <v>0</v>
      </c>
      <c r="BD107" s="37">
        <f>G107/(100-BE107)*100</f>
        <v>0</v>
      </c>
      <c r="BE107" s="37">
        <v>0</v>
      </c>
      <c r="BF107" s="37">
        <f>107</f>
        <v>107</v>
      </c>
      <c r="BH107" s="37">
        <f>F107*AO107</f>
        <v>0</v>
      </c>
      <c r="BI107" s="37">
        <f>F107*AP107</f>
        <v>0</v>
      </c>
      <c r="BJ107" s="37">
        <f>F107*G107</f>
        <v>0</v>
      </c>
      <c r="BK107" s="37"/>
      <c r="BL107" s="37">
        <v>711</v>
      </c>
      <c r="BW107" s="37">
        <v>21</v>
      </c>
      <c r="BX107" s="3" t="s">
        <v>459</v>
      </c>
    </row>
    <row r="108" spans="1:76" x14ac:dyDescent="0.25">
      <c r="A108" s="61" t="s">
        <v>4</v>
      </c>
      <c r="B108" s="62" t="s">
        <v>127</v>
      </c>
      <c r="C108" s="343" t="s">
        <v>128</v>
      </c>
      <c r="D108" s="344"/>
      <c r="E108" s="63" t="s">
        <v>81</v>
      </c>
      <c r="F108" s="63" t="s">
        <v>81</v>
      </c>
      <c r="G108" s="64" t="s">
        <v>81</v>
      </c>
      <c r="H108" s="43">
        <f>SUM(H109:H113)</f>
        <v>0</v>
      </c>
      <c r="I108" s="43">
        <f>SUM(I109:I113)</f>
        <v>0</v>
      </c>
      <c r="J108" s="43">
        <f>SUM(J109:J113)</f>
        <v>0</v>
      </c>
      <c r="K108" s="65" t="s">
        <v>4</v>
      </c>
      <c r="AI108" s="49" t="s">
        <v>89</v>
      </c>
      <c r="AS108" s="43">
        <f>SUM(AJ109:AJ113)</f>
        <v>0</v>
      </c>
      <c r="AT108" s="43">
        <f>SUM(AK109:AK113)</f>
        <v>0</v>
      </c>
      <c r="AU108" s="43">
        <f>SUM(AL109:AL113)</f>
        <v>0</v>
      </c>
    </row>
    <row r="109" spans="1:76" x14ac:dyDescent="0.25">
      <c r="A109" s="1" t="s">
        <v>460</v>
      </c>
      <c r="B109" s="2" t="s">
        <v>461</v>
      </c>
      <c r="C109" s="258" t="s">
        <v>462</v>
      </c>
      <c r="D109" s="259"/>
      <c r="E109" s="2" t="s">
        <v>251</v>
      </c>
      <c r="F109" s="37">
        <v>119.73</v>
      </c>
      <c r="G109" s="66">
        <v>0</v>
      </c>
      <c r="H109" s="37">
        <f>F109*AO109</f>
        <v>0</v>
      </c>
      <c r="I109" s="37">
        <f>F109*AP109</f>
        <v>0</v>
      </c>
      <c r="J109" s="37">
        <f>F109*G109</f>
        <v>0</v>
      </c>
      <c r="K109" s="67" t="s">
        <v>217</v>
      </c>
      <c r="Z109" s="37">
        <f>IF(AQ109="5",BJ109,0)</f>
        <v>0</v>
      </c>
      <c r="AB109" s="37">
        <f>IF(AQ109="1",BH109,0)</f>
        <v>0</v>
      </c>
      <c r="AC109" s="37">
        <f>IF(AQ109="1",BI109,0)</f>
        <v>0</v>
      </c>
      <c r="AD109" s="37">
        <f>IF(AQ109="7",BH109,0)</f>
        <v>0</v>
      </c>
      <c r="AE109" s="37">
        <f>IF(AQ109="7",BI109,0)</f>
        <v>0</v>
      </c>
      <c r="AF109" s="37">
        <f>IF(AQ109="2",BH109,0)</f>
        <v>0</v>
      </c>
      <c r="AG109" s="37">
        <f>IF(AQ109="2",BI109,0)</f>
        <v>0</v>
      </c>
      <c r="AH109" s="37">
        <f>IF(AQ109="0",BJ109,0)</f>
        <v>0</v>
      </c>
      <c r="AI109" s="49" t="s">
        <v>89</v>
      </c>
      <c r="AJ109" s="37">
        <f>IF(AN109=0,J109,0)</f>
        <v>0</v>
      </c>
      <c r="AK109" s="37">
        <f>IF(AN109=12,J109,0)</f>
        <v>0</v>
      </c>
      <c r="AL109" s="37">
        <f>IF(AN109=21,J109,0)</f>
        <v>0</v>
      </c>
      <c r="AN109" s="37">
        <v>21</v>
      </c>
      <c r="AO109" s="37">
        <f>G109*0.461348861</f>
        <v>0</v>
      </c>
      <c r="AP109" s="37">
        <f>G109*(1-0.461348861)</f>
        <v>0</v>
      </c>
      <c r="AQ109" s="68" t="s">
        <v>237</v>
      </c>
      <c r="AV109" s="37">
        <f>AW109+AX109</f>
        <v>0</v>
      </c>
      <c r="AW109" s="37">
        <f>F109*AO109</f>
        <v>0</v>
      </c>
      <c r="AX109" s="37">
        <f>F109*AP109</f>
        <v>0</v>
      </c>
      <c r="AY109" s="68" t="s">
        <v>463</v>
      </c>
      <c r="AZ109" s="68" t="s">
        <v>450</v>
      </c>
      <c r="BA109" s="49" t="s">
        <v>220</v>
      </c>
      <c r="BC109" s="37">
        <f>AW109+AX109</f>
        <v>0</v>
      </c>
      <c r="BD109" s="37">
        <f>G109/(100-BE109)*100</f>
        <v>0</v>
      </c>
      <c r="BE109" s="37">
        <v>0</v>
      </c>
      <c r="BF109" s="37">
        <f>109</f>
        <v>109</v>
      </c>
      <c r="BH109" s="37">
        <f>F109*AO109</f>
        <v>0</v>
      </c>
      <c r="BI109" s="37">
        <f>F109*AP109</f>
        <v>0</v>
      </c>
      <c r="BJ109" s="37">
        <f>F109*G109</f>
        <v>0</v>
      </c>
      <c r="BK109" s="37"/>
      <c r="BL109" s="37">
        <v>713</v>
      </c>
      <c r="BW109" s="37">
        <v>21</v>
      </c>
      <c r="BX109" s="3" t="s">
        <v>462</v>
      </c>
    </row>
    <row r="110" spans="1:76" x14ac:dyDescent="0.25">
      <c r="A110" s="1" t="s">
        <v>464</v>
      </c>
      <c r="B110" s="2" t="s">
        <v>465</v>
      </c>
      <c r="C110" s="258" t="s">
        <v>466</v>
      </c>
      <c r="D110" s="259"/>
      <c r="E110" s="2" t="s">
        <v>251</v>
      </c>
      <c r="F110" s="37">
        <v>331.74</v>
      </c>
      <c r="G110" s="66">
        <v>0</v>
      </c>
      <c r="H110" s="37">
        <f>F110*AO110</f>
        <v>0</v>
      </c>
      <c r="I110" s="37">
        <f>F110*AP110</f>
        <v>0</v>
      </c>
      <c r="J110" s="37">
        <f>F110*G110</f>
        <v>0</v>
      </c>
      <c r="K110" s="67" t="s">
        <v>217</v>
      </c>
      <c r="Z110" s="37">
        <f>IF(AQ110="5",BJ110,0)</f>
        <v>0</v>
      </c>
      <c r="AB110" s="37">
        <f>IF(AQ110="1",BH110,0)</f>
        <v>0</v>
      </c>
      <c r="AC110" s="37">
        <f>IF(AQ110="1",BI110,0)</f>
        <v>0</v>
      </c>
      <c r="AD110" s="37">
        <f>IF(AQ110="7",BH110,0)</f>
        <v>0</v>
      </c>
      <c r="AE110" s="37">
        <f>IF(AQ110="7",BI110,0)</f>
        <v>0</v>
      </c>
      <c r="AF110" s="37">
        <f>IF(AQ110="2",BH110,0)</f>
        <v>0</v>
      </c>
      <c r="AG110" s="37">
        <f>IF(AQ110="2",BI110,0)</f>
        <v>0</v>
      </c>
      <c r="AH110" s="37">
        <f>IF(AQ110="0",BJ110,0)</f>
        <v>0</v>
      </c>
      <c r="AI110" s="49" t="s">
        <v>89</v>
      </c>
      <c r="AJ110" s="37">
        <f>IF(AN110=0,J110,0)</f>
        <v>0</v>
      </c>
      <c r="AK110" s="37">
        <f>IF(AN110=12,J110,0)</f>
        <v>0</v>
      </c>
      <c r="AL110" s="37">
        <f>IF(AN110=21,J110,0)</f>
        <v>0</v>
      </c>
      <c r="AN110" s="37">
        <v>21</v>
      </c>
      <c r="AO110" s="37">
        <f>G110*0</f>
        <v>0</v>
      </c>
      <c r="AP110" s="37">
        <f>G110*(1-0)</f>
        <v>0</v>
      </c>
      <c r="AQ110" s="68" t="s">
        <v>237</v>
      </c>
      <c r="AV110" s="37">
        <f>AW110+AX110</f>
        <v>0</v>
      </c>
      <c r="AW110" s="37">
        <f>F110*AO110</f>
        <v>0</v>
      </c>
      <c r="AX110" s="37">
        <f>F110*AP110</f>
        <v>0</v>
      </c>
      <c r="AY110" s="68" t="s">
        <v>463</v>
      </c>
      <c r="AZ110" s="68" t="s">
        <v>450</v>
      </c>
      <c r="BA110" s="49" t="s">
        <v>220</v>
      </c>
      <c r="BC110" s="37">
        <f>AW110+AX110</f>
        <v>0</v>
      </c>
      <c r="BD110" s="37">
        <f>G110/(100-BE110)*100</f>
        <v>0</v>
      </c>
      <c r="BE110" s="37">
        <v>0</v>
      </c>
      <c r="BF110" s="37">
        <f>110</f>
        <v>110</v>
      </c>
      <c r="BH110" s="37">
        <f>F110*AO110</f>
        <v>0</v>
      </c>
      <c r="BI110" s="37">
        <f>F110*AP110</f>
        <v>0</v>
      </c>
      <c r="BJ110" s="37">
        <f>F110*G110</f>
        <v>0</v>
      </c>
      <c r="BK110" s="37"/>
      <c r="BL110" s="37">
        <v>713</v>
      </c>
      <c r="BW110" s="37">
        <v>21</v>
      </c>
      <c r="BX110" s="3" t="s">
        <v>466</v>
      </c>
    </row>
    <row r="111" spans="1:76" x14ac:dyDescent="0.25">
      <c r="A111" s="1" t="s">
        <v>467</v>
      </c>
      <c r="B111" s="2" t="s">
        <v>468</v>
      </c>
      <c r="C111" s="258" t="s">
        <v>469</v>
      </c>
      <c r="D111" s="259"/>
      <c r="E111" s="2" t="s">
        <v>251</v>
      </c>
      <c r="F111" s="37">
        <v>281.9556</v>
      </c>
      <c r="G111" s="66">
        <v>0</v>
      </c>
      <c r="H111" s="37">
        <f>F111*AO111</f>
        <v>0</v>
      </c>
      <c r="I111" s="37">
        <f>F111*AP111</f>
        <v>0</v>
      </c>
      <c r="J111" s="37">
        <f>F111*G111</f>
        <v>0</v>
      </c>
      <c r="K111" s="67" t="s">
        <v>327</v>
      </c>
      <c r="Z111" s="37">
        <f>IF(AQ111="5",BJ111,0)</f>
        <v>0</v>
      </c>
      <c r="AB111" s="37">
        <f>IF(AQ111="1",BH111,0)</f>
        <v>0</v>
      </c>
      <c r="AC111" s="37">
        <f>IF(AQ111="1",BI111,0)</f>
        <v>0</v>
      </c>
      <c r="AD111" s="37">
        <f>IF(AQ111="7",BH111,0)</f>
        <v>0</v>
      </c>
      <c r="AE111" s="37">
        <f>IF(AQ111="7",BI111,0)</f>
        <v>0</v>
      </c>
      <c r="AF111" s="37">
        <f>IF(AQ111="2",BH111,0)</f>
        <v>0</v>
      </c>
      <c r="AG111" s="37">
        <f>IF(AQ111="2",BI111,0)</f>
        <v>0</v>
      </c>
      <c r="AH111" s="37">
        <f>IF(AQ111="0",BJ111,0)</f>
        <v>0</v>
      </c>
      <c r="AI111" s="49" t="s">
        <v>89</v>
      </c>
      <c r="AJ111" s="37">
        <f>IF(AN111=0,J111,0)</f>
        <v>0</v>
      </c>
      <c r="AK111" s="37">
        <f>IF(AN111=12,J111,0)</f>
        <v>0</v>
      </c>
      <c r="AL111" s="37">
        <f>IF(AN111=21,J111,0)</f>
        <v>0</v>
      </c>
      <c r="AN111" s="37">
        <v>21</v>
      </c>
      <c r="AO111" s="37">
        <f>G111*1</f>
        <v>0</v>
      </c>
      <c r="AP111" s="37">
        <f>G111*(1-1)</f>
        <v>0</v>
      </c>
      <c r="AQ111" s="68" t="s">
        <v>237</v>
      </c>
      <c r="AV111" s="37">
        <f>AW111+AX111</f>
        <v>0</v>
      </c>
      <c r="AW111" s="37">
        <f>F111*AO111</f>
        <v>0</v>
      </c>
      <c r="AX111" s="37">
        <f>F111*AP111</f>
        <v>0</v>
      </c>
      <c r="AY111" s="68" t="s">
        <v>463</v>
      </c>
      <c r="AZ111" s="68" t="s">
        <v>450</v>
      </c>
      <c r="BA111" s="49" t="s">
        <v>220</v>
      </c>
      <c r="BC111" s="37">
        <f>AW111+AX111</f>
        <v>0</v>
      </c>
      <c r="BD111" s="37">
        <f>G111/(100-BE111)*100</f>
        <v>0</v>
      </c>
      <c r="BE111" s="37">
        <v>0</v>
      </c>
      <c r="BF111" s="37">
        <f>111</f>
        <v>111</v>
      </c>
      <c r="BH111" s="37">
        <f>F111*AO111</f>
        <v>0</v>
      </c>
      <c r="BI111" s="37">
        <f>F111*AP111</f>
        <v>0</v>
      </c>
      <c r="BJ111" s="37">
        <f>F111*G111</f>
        <v>0</v>
      </c>
      <c r="BK111" s="37"/>
      <c r="BL111" s="37">
        <v>713</v>
      </c>
      <c r="BW111" s="37">
        <v>21</v>
      </c>
      <c r="BX111" s="3" t="s">
        <v>469</v>
      </c>
    </row>
    <row r="112" spans="1:76" x14ac:dyDescent="0.25">
      <c r="A112" s="1" t="s">
        <v>470</v>
      </c>
      <c r="B112" s="2" t="s">
        <v>471</v>
      </c>
      <c r="C112" s="258" t="s">
        <v>472</v>
      </c>
      <c r="D112" s="259"/>
      <c r="E112" s="2" t="s">
        <v>251</v>
      </c>
      <c r="F112" s="37">
        <v>76.323599999999999</v>
      </c>
      <c r="G112" s="66">
        <v>0</v>
      </c>
      <c r="H112" s="37">
        <f>F112*AO112</f>
        <v>0</v>
      </c>
      <c r="I112" s="37">
        <f>F112*AP112</f>
        <v>0</v>
      </c>
      <c r="J112" s="37">
        <f>F112*G112</f>
        <v>0</v>
      </c>
      <c r="K112" s="67" t="s">
        <v>327</v>
      </c>
      <c r="Z112" s="37">
        <f>IF(AQ112="5",BJ112,0)</f>
        <v>0</v>
      </c>
      <c r="AB112" s="37">
        <f>IF(AQ112="1",BH112,0)</f>
        <v>0</v>
      </c>
      <c r="AC112" s="37">
        <f>IF(AQ112="1",BI112,0)</f>
        <v>0</v>
      </c>
      <c r="AD112" s="37">
        <f>IF(AQ112="7",BH112,0)</f>
        <v>0</v>
      </c>
      <c r="AE112" s="37">
        <f>IF(AQ112="7",BI112,0)</f>
        <v>0</v>
      </c>
      <c r="AF112" s="37">
        <f>IF(AQ112="2",BH112,0)</f>
        <v>0</v>
      </c>
      <c r="AG112" s="37">
        <f>IF(AQ112="2",BI112,0)</f>
        <v>0</v>
      </c>
      <c r="AH112" s="37">
        <f>IF(AQ112="0",BJ112,0)</f>
        <v>0</v>
      </c>
      <c r="AI112" s="49" t="s">
        <v>89</v>
      </c>
      <c r="AJ112" s="37">
        <f>IF(AN112=0,J112,0)</f>
        <v>0</v>
      </c>
      <c r="AK112" s="37">
        <f>IF(AN112=12,J112,0)</f>
        <v>0</v>
      </c>
      <c r="AL112" s="37">
        <f>IF(AN112=21,J112,0)</f>
        <v>0</v>
      </c>
      <c r="AN112" s="37">
        <v>21</v>
      </c>
      <c r="AO112" s="37">
        <f>G112*1</f>
        <v>0</v>
      </c>
      <c r="AP112" s="37">
        <f>G112*(1-1)</f>
        <v>0</v>
      </c>
      <c r="AQ112" s="68" t="s">
        <v>237</v>
      </c>
      <c r="AV112" s="37">
        <f>AW112+AX112</f>
        <v>0</v>
      </c>
      <c r="AW112" s="37">
        <f>F112*AO112</f>
        <v>0</v>
      </c>
      <c r="AX112" s="37">
        <f>F112*AP112</f>
        <v>0</v>
      </c>
      <c r="AY112" s="68" t="s">
        <v>463</v>
      </c>
      <c r="AZ112" s="68" t="s">
        <v>450</v>
      </c>
      <c r="BA112" s="49" t="s">
        <v>220</v>
      </c>
      <c r="BC112" s="37">
        <f>AW112+AX112</f>
        <v>0</v>
      </c>
      <c r="BD112" s="37">
        <f>G112/(100-BE112)*100</f>
        <v>0</v>
      </c>
      <c r="BE112" s="37">
        <v>0</v>
      </c>
      <c r="BF112" s="37">
        <f>112</f>
        <v>112</v>
      </c>
      <c r="BH112" s="37">
        <f>F112*AO112</f>
        <v>0</v>
      </c>
      <c r="BI112" s="37">
        <f>F112*AP112</f>
        <v>0</v>
      </c>
      <c r="BJ112" s="37">
        <f>F112*G112</f>
        <v>0</v>
      </c>
      <c r="BK112" s="37"/>
      <c r="BL112" s="37">
        <v>713</v>
      </c>
      <c r="BW112" s="37">
        <v>21</v>
      </c>
      <c r="BX112" s="3" t="s">
        <v>472</v>
      </c>
    </row>
    <row r="113" spans="1:76" x14ac:dyDescent="0.25">
      <c r="A113" s="1" t="s">
        <v>473</v>
      </c>
      <c r="B113" s="2" t="s">
        <v>474</v>
      </c>
      <c r="C113" s="258" t="s">
        <v>475</v>
      </c>
      <c r="D113" s="259"/>
      <c r="E113" s="2" t="s">
        <v>63</v>
      </c>
      <c r="F113" s="37">
        <v>2488.4241000000002</v>
      </c>
      <c r="G113" s="66">
        <v>0</v>
      </c>
      <c r="H113" s="37">
        <f>F113*AO113</f>
        <v>0</v>
      </c>
      <c r="I113" s="37">
        <f>F113*AP113</f>
        <v>0</v>
      </c>
      <c r="J113" s="37">
        <f>F113*G113</f>
        <v>0</v>
      </c>
      <c r="K113" s="67" t="s">
        <v>217</v>
      </c>
      <c r="Z113" s="37">
        <f>IF(AQ113="5",BJ113,0)</f>
        <v>0</v>
      </c>
      <c r="AB113" s="37">
        <f>IF(AQ113="1",BH113,0)</f>
        <v>0</v>
      </c>
      <c r="AC113" s="37">
        <f>IF(AQ113="1",BI113,0)</f>
        <v>0</v>
      </c>
      <c r="AD113" s="37">
        <f>IF(AQ113="7",BH113,0)</f>
        <v>0</v>
      </c>
      <c r="AE113" s="37">
        <f>IF(AQ113="7",BI113,0)</f>
        <v>0</v>
      </c>
      <c r="AF113" s="37">
        <f>IF(AQ113="2",BH113,0)</f>
        <v>0</v>
      </c>
      <c r="AG113" s="37">
        <f>IF(AQ113="2",BI113,0)</f>
        <v>0</v>
      </c>
      <c r="AH113" s="37">
        <f>IF(AQ113="0",BJ113,0)</f>
        <v>0</v>
      </c>
      <c r="AI113" s="49" t="s">
        <v>89</v>
      </c>
      <c r="AJ113" s="37">
        <f>IF(AN113=0,J113,0)</f>
        <v>0</v>
      </c>
      <c r="AK113" s="37">
        <f>IF(AN113=12,J113,0)</f>
        <v>0</v>
      </c>
      <c r="AL113" s="37">
        <f>IF(AN113=21,J113,0)</f>
        <v>0</v>
      </c>
      <c r="AN113" s="37">
        <v>21</v>
      </c>
      <c r="AO113" s="37">
        <f>G113*0</f>
        <v>0</v>
      </c>
      <c r="AP113" s="37">
        <f>G113*(1-0)</f>
        <v>0</v>
      </c>
      <c r="AQ113" s="68" t="s">
        <v>231</v>
      </c>
      <c r="AV113" s="37">
        <f>AW113+AX113</f>
        <v>0</v>
      </c>
      <c r="AW113" s="37">
        <f>F113*AO113</f>
        <v>0</v>
      </c>
      <c r="AX113" s="37">
        <f>F113*AP113</f>
        <v>0</v>
      </c>
      <c r="AY113" s="68" t="s">
        <v>463</v>
      </c>
      <c r="AZ113" s="68" t="s">
        <v>450</v>
      </c>
      <c r="BA113" s="49" t="s">
        <v>220</v>
      </c>
      <c r="BC113" s="37">
        <f>AW113+AX113</f>
        <v>0</v>
      </c>
      <c r="BD113" s="37">
        <f>G113/(100-BE113)*100</f>
        <v>0</v>
      </c>
      <c r="BE113" s="37">
        <v>0</v>
      </c>
      <c r="BF113" s="37">
        <f>113</f>
        <v>113</v>
      </c>
      <c r="BH113" s="37">
        <f>F113*AO113</f>
        <v>0</v>
      </c>
      <c r="BI113" s="37">
        <f>F113*AP113</f>
        <v>0</v>
      </c>
      <c r="BJ113" s="37">
        <f>F113*G113</f>
        <v>0</v>
      </c>
      <c r="BK113" s="37"/>
      <c r="BL113" s="37">
        <v>713</v>
      </c>
      <c r="BW113" s="37">
        <v>21</v>
      </c>
      <c r="BX113" s="3" t="s">
        <v>475</v>
      </c>
    </row>
    <row r="114" spans="1:76" x14ac:dyDescent="0.25">
      <c r="A114" s="61" t="s">
        <v>4</v>
      </c>
      <c r="B114" s="62" t="s">
        <v>129</v>
      </c>
      <c r="C114" s="343" t="s">
        <v>130</v>
      </c>
      <c r="D114" s="344"/>
      <c r="E114" s="63" t="s">
        <v>81</v>
      </c>
      <c r="F114" s="63" t="s">
        <v>81</v>
      </c>
      <c r="G114" s="64" t="s">
        <v>81</v>
      </c>
      <c r="H114" s="43">
        <f>SUM(H115:H119)</f>
        <v>0</v>
      </c>
      <c r="I114" s="43">
        <f>SUM(I115:I119)</f>
        <v>0</v>
      </c>
      <c r="J114" s="43">
        <f>SUM(J115:J119)</f>
        <v>0</v>
      </c>
      <c r="K114" s="65" t="s">
        <v>4</v>
      </c>
      <c r="AI114" s="49" t="s">
        <v>89</v>
      </c>
      <c r="AS114" s="43">
        <f>SUM(AJ115:AJ119)</f>
        <v>0</v>
      </c>
      <c r="AT114" s="43">
        <f>SUM(AK115:AK119)</f>
        <v>0</v>
      </c>
      <c r="AU114" s="43">
        <f>SUM(AL115:AL119)</f>
        <v>0</v>
      </c>
    </row>
    <row r="115" spans="1:76" x14ac:dyDescent="0.25">
      <c r="A115" s="1" t="s">
        <v>476</v>
      </c>
      <c r="B115" s="2" t="s">
        <v>477</v>
      </c>
      <c r="C115" s="258" t="s">
        <v>478</v>
      </c>
      <c r="D115" s="259"/>
      <c r="E115" s="2" t="s">
        <v>313</v>
      </c>
      <c r="F115" s="37">
        <v>2</v>
      </c>
      <c r="G115" s="66">
        <v>0</v>
      </c>
      <c r="H115" s="37">
        <f>F115*AO115</f>
        <v>0</v>
      </c>
      <c r="I115" s="37">
        <f>F115*AP115</f>
        <v>0</v>
      </c>
      <c r="J115" s="37">
        <f>F115*G115</f>
        <v>0</v>
      </c>
      <c r="K115" s="67" t="s">
        <v>217</v>
      </c>
      <c r="Z115" s="37">
        <f>IF(AQ115="5",BJ115,0)</f>
        <v>0</v>
      </c>
      <c r="AB115" s="37">
        <f>IF(AQ115="1",BH115,0)</f>
        <v>0</v>
      </c>
      <c r="AC115" s="37">
        <f>IF(AQ115="1",BI115,0)</f>
        <v>0</v>
      </c>
      <c r="AD115" s="37">
        <f>IF(AQ115="7",BH115,0)</f>
        <v>0</v>
      </c>
      <c r="AE115" s="37">
        <f>IF(AQ115="7",BI115,0)</f>
        <v>0</v>
      </c>
      <c r="AF115" s="37">
        <f>IF(AQ115="2",BH115,0)</f>
        <v>0</v>
      </c>
      <c r="AG115" s="37">
        <f>IF(AQ115="2",BI115,0)</f>
        <v>0</v>
      </c>
      <c r="AH115" s="37">
        <f>IF(AQ115="0",BJ115,0)</f>
        <v>0</v>
      </c>
      <c r="AI115" s="49" t="s">
        <v>89</v>
      </c>
      <c r="AJ115" s="37">
        <f>IF(AN115=0,J115,0)</f>
        <v>0</v>
      </c>
      <c r="AK115" s="37">
        <f>IF(AN115=12,J115,0)</f>
        <v>0</v>
      </c>
      <c r="AL115" s="37">
        <f>IF(AN115=21,J115,0)</f>
        <v>0</v>
      </c>
      <c r="AN115" s="37">
        <v>21</v>
      </c>
      <c r="AO115" s="37">
        <f>G115*0.414300183</f>
        <v>0</v>
      </c>
      <c r="AP115" s="37">
        <f>G115*(1-0.414300183)</f>
        <v>0</v>
      </c>
      <c r="AQ115" s="68" t="s">
        <v>237</v>
      </c>
      <c r="AV115" s="37">
        <f>AW115+AX115</f>
        <v>0</v>
      </c>
      <c r="AW115" s="37">
        <f>F115*AO115</f>
        <v>0</v>
      </c>
      <c r="AX115" s="37">
        <f>F115*AP115</f>
        <v>0</v>
      </c>
      <c r="AY115" s="68" t="s">
        <v>479</v>
      </c>
      <c r="AZ115" s="68" t="s">
        <v>480</v>
      </c>
      <c r="BA115" s="49" t="s">
        <v>220</v>
      </c>
      <c r="BC115" s="37">
        <f>AW115+AX115</f>
        <v>0</v>
      </c>
      <c r="BD115" s="37">
        <f>G115/(100-BE115)*100</f>
        <v>0</v>
      </c>
      <c r="BE115" s="37">
        <v>0</v>
      </c>
      <c r="BF115" s="37">
        <f>115</f>
        <v>115</v>
      </c>
      <c r="BH115" s="37">
        <f>F115*AO115</f>
        <v>0</v>
      </c>
      <c r="BI115" s="37">
        <f>F115*AP115</f>
        <v>0</v>
      </c>
      <c r="BJ115" s="37">
        <f>F115*G115</f>
        <v>0</v>
      </c>
      <c r="BK115" s="37"/>
      <c r="BL115" s="37">
        <v>721</v>
      </c>
      <c r="BW115" s="37">
        <v>21</v>
      </c>
      <c r="BX115" s="3" t="s">
        <v>478</v>
      </c>
    </row>
    <row r="116" spans="1:76" x14ac:dyDescent="0.25">
      <c r="A116" s="1" t="s">
        <v>481</v>
      </c>
      <c r="B116" s="2" t="s">
        <v>482</v>
      </c>
      <c r="C116" s="258" t="s">
        <v>483</v>
      </c>
      <c r="D116" s="259"/>
      <c r="E116" s="2" t="s">
        <v>309</v>
      </c>
      <c r="F116" s="37">
        <v>0.29718</v>
      </c>
      <c r="G116" s="66">
        <v>0</v>
      </c>
      <c r="H116" s="37">
        <f>F116*AO116</f>
        <v>0</v>
      </c>
      <c r="I116" s="37">
        <f>F116*AP116</f>
        <v>0</v>
      </c>
      <c r="J116" s="37">
        <f>F116*G116</f>
        <v>0</v>
      </c>
      <c r="K116" s="67" t="s">
        <v>217</v>
      </c>
      <c r="Z116" s="37">
        <f>IF(AQ116="5",BJ116,0)</f>
        <v>0</v>
      </c>
      <c r="AB116" s="37">
        <f>IF(AQ116="1",BH116,0)</f>
        <v>0</v>
      </c>
      <c r="AC116" s="37">
        <f>IF(AQ116="1",BI116,0)</f>
        <v>0</v>
      </c>
      <c r="AD116" s="37">
        <f>IF(AQ116="7",BH116,0)</f>
        <v>0</v>
      </c>
      <c r="AE116" s="37">
        <f>IF(AQ116="7",BI116,0)</f>
        <v>0</v>
      </c>
      <c r="AF116" s="37">
        <f>IF(AQ116="2",BH116,0)</f>
        <v>0</v>
      </c>
      <c r="AG116" s="37">
        <f>IF(AQ116="2",BI116,0)</f>
        <v>0</v>
      </c>
      <c r="AH116" s="37">
        <f>IF(AQ116="0",BJ116,0)</f>
        <v>0</v>
      </c>
      <c r="AI116" s="49" t="s">
        <v>89</v>
      </c>
      <c r="AJ116" s="37">
        <f>IF(AN116=0,J116,0)</f>
        <v>0</v>
      </c>
      <c r="AK116" s="37">
        <f>IF(AN116=12,J116,0)</f>
        <v>0</v>
      </c>
      <c r="AL116" s="37">
        <f>IF(AN116=21,J116,0)</f>
        <v>0</v>
      </c>
      <c r="AN116" s="37">
        <v>21</v>
      </c>
      <c r="AO116" s="37">
        <f>G116*1</f>
        <v>0</v>
      </c>
      <c r="AP116" s="37">
        <f>G116*(1-1)</f>
        <v>0</v>
      </c>
      <c r="AQ116" s="68" t="s">
        <v>237</v>
      </c>
      <c r="AV116" s="37">
        <f>AW116+AX116</f>
        <v>0</v>
      </c>
      <c r="AW116" s="37">
        <f>F116*AO116</f>
        <v>0</v>
      </c>
      <c r="AX116" s="37">
        <f>F116*AP116</f>
        <v>0</v>
      </c>
      <c r="AY116" s="68" t="s">
        <v>479</v>
      </c>
      <c r="AZ116" s="68" t="s">
        <v>480</v>
      </c>
      <c r="BA116" s="49" t="s">
        <v>220</v>
      </c>
      <c r="BC116" s="37">
        <f>AW116+AX116</f>
        <v>0</v>
      </c>
      <c r="BD116" s="37">
        <f>G116/(100-BE116)*100</f>
        <v>0</v>
      </c>
      <c r="BE116" s="37">
        <v>0</v>
      </c>
      <c r="BF116" s="37">
        <f>116</f>
        <v>116</v>
      </c>
      <c r="BH116" s="37">
        <f>F116*AO116</f>
        <v>0</v>
      </c>
      <c r="BI116" s="37">
        <f>F116*AP116</f>
        <v>0</v>
      </c>
      <c r="BJ116" s="37">
        <f>F116*G116</f>
        <v>0</v>
      </c>
      <c r="BK116" s="37"/>
      <c r="BL116" s="37">
        <v>721</v>
      </c>
      <c r="BW116" s="37">
        <v>21</v>
      </c>
      <c r="BX116" s="3" t="s">
        <v>483</v>
      </c>
    </row>
    <row r="117" spans="1:76" x14ac:dyDescent="0.25">
      <c r="A117" s="1" t="s">
        <v>484</v>
      </c>
      <c r="B117" s="2" t="s">
        <v>485</v>
      </c>
      <c r="C117" s="258" t="s">
        <v>486</v>
      </c>
      <c r="D117" s="259"/>
      <c r="E117" s="2" t="s">
        <v>313</v>
      </c>
      <c r="F117" s="37">
        <v>1</v>
      </c>
      <c r="G117" s="66">
        <v>0</v>
      </c>
      <c r="H117" s="37">
        <f>F117*AO117</f>
        <v>0</v>
      </c>
      <c r="I117" s="37">
        <f>F117*AP117</f>
        <v>0</v>
      </c>
      <c r="J117" s="37">
        <f>F117*G117</f>
        <v>0</v>
      </c>
      <c r="K117" s="67" t="s">
        <v>217</v>
      </c>
      <c r="Z117" s="37">
        <f>IF(AQ117="5",BJ117,0)</f>
        <v>0</v>
      </c>
      <c r="AB117" s="37">
        <f>IF(AQ117="1",BH117,0)</f>
        <v>0</v>
      </c>
      <c r="AC117" s="37">
        <f>IF(AQ117="1",BI117,0)</f>
        <v>0</v>
      </c>
      <c r="AD117" s="37">
        <f>IF(AQ117="7",BH117,0)</f>
        <v>0</v>
      </c>
      <c r="AE117" s="37">
        <f>IF(AQ117="7",BI117,0)</f>
        <v>0</v>
      </c>
      <c r="AF117" s="37">
        <f>IF(AQ117="2",BH117,0)</f>
        <v>0</v>
      </c>
      <c r="AG117" s="37">
        <f>IF(AQ117="2",BI117,0)</f>
        <v>0</v>
      </c>
      <c r="AH117" s="37">
        <f>IF(AQ117="0",BJ117,0)</f>
        <v>0</v>
      </c>
      <c r="AI117" s="49" t="s">
        <v>89</v>
      </c>
      <c r="AJ117" s="37">
        <f>IF(AN117=0,J117,0)</f>
        <v>0</v>
      </c>
      <c r="AK117" s="37">
        <f>IF(AN117=12,J117,0)</f>
        <v>0</v>
      </c>
      <c r="AL117" s="37">
        <f>IF(AN117=21,J117,0)</f>
        <v>0</v>
      </c>
      <c r="AN117" s="37">
        <v>21</v>
      </c>
      <c r="AO117" s="37">
        <f>G117*0.43378545</f>
        <v>0</v>
      </c>
      <c r="AP117" s="37">
        <f>G117*(1-0.43378545)</f>
        <v>0</v>
      </c>
      <c r="AQ117" s="68" t="s">
        <v>237</v>
      </c>
      <c r="AV117" s="37">
        <f>AW117+AX117</f>
        <v>0</v>
      </c>
      <c r="AW117" s="37">
        <f>F117*AO117</f>
        <v>0</v>
      </c>
      <c r="AX117" s="37">
        <f>F117*AP117</f>
        <v>0</v>
      </c>
      <c r="AY117" s="68" t="s">
        <v>479</v>
      </c>
      <c r="AZ117" s="68" t="s">
        <v>480</v>
      </c>
      <c r="BA117" s="49" t="s">
        <v>220</v>
      </c>
      <c r="BC117" s="37">
        <f>AW117+AX117</f>
        <v>0</v>
      </c>
      <c r="BD117" s="37">
        <f>G117/(100-BE117)*100</f>
        <v>0</v>
      </c>
      <c r="BE117" s="37">
        <v>0</v>
      </c>
      <c r="BF117" s="37">
        <f>117</f>
        <v>117</v>
      </c>
      <c r="BH117" s="37">
        <f>F117*AO117</f>
        <v>0</v>
      </c>
      <c r="BI117" s="37">
        <f>F117*AP117</f>
        <v>0</v>
      </c>
      <c r="BJ117" s="37">
        <f>F117*G117</f>
        <v>0</v>
      </c>
      <c r="BK117" s="37"/>
      <c r="BL117" s="37">
        <v>721</v>
      </c>
      <c r="BW117" s="37">
        <v>21</v>
      </c>
      <c r="BX117" s="3" t="s">
        <v>486</v>
      </c>
    </row>
    <row r="118" spans="1:76" x14ac:dyDescent="0.25">
      <c r="A118" s="1" t="s">
        <v>487</v>
      </c>
      <c r="B118" s="2" t="s">
        <v>488</v>
      </c>
      <c r="C118" s="258" t="s">
        <v>489</v>
      </c>
      <c r="D118" s="259"/>
      <c r="E118" s="2" t="s">
        <v>313</v>
      </c>
      <c r="F118" s="37">
        <v>2</v>
      </c>
      <c r="G118" s="66">
        <v>0</v>
      </c>
      <c r="H118" s="37">
        <f>F118*AO118</f>
        <v>0</v>
      </c>
      <c r="I118" s="37">
        <f>F118*AP118</f>
        <v>0</v>
      </c>
      <c r="J118" s="37">
        <f>F118*G118</f>
        <v>0</v>
      </c>
      <c r="K118" s="67" t="s">
        <v>217</v>
      </c>
      <c r="Z118" s="37">
        <f>IF(AQ118="5",BJ118,0)</f>
        <v>0</v>
      </c>
      <c r="AB118" s="37">
        <f>IF(AQ118="1",BH118,0)</f>
        <v>0</v>
      </c>
      <c r="AC118" s="37">
        <f>IF(AQ118="1",BI118,0)</f>
        <v>0</v>
      </c>
      <c r="AD118" s="37">
        <f>IF(AQ118="7",BH118,0)</f>
        <v>0</v>
      </c>
      <c r="AE118" s="37">
        <f>IF(AQ118="7",BI118,0)</f>
        <v>0</v>
      </c>
      <c r="AF118" s="37">
        <f>IF(AQ118="2",BH118,0)</f>
        <v>0</v>
      </c>
      <c r="AG118" s="37">
        <f>IF(AQ118="2",BI118,0)</f>
        <v>0</v>
      </c>
      <c r="AH118" s="37">
        <f>IF(AQ118="0",BJ118,0)</f>
        <v>0</v>
      </c>
      <c r="AI118" s="49" t="s">
        <v>89</v>
      </c>
      <c r="AJ118" s="37">
        <f>IF(AN118=0,J118,0)</f>
        <v>0</v>
      </c>
      <c r="AK118" s="37">
        <f>IF(AN118=12,J118,0)</f>
        <v>0</v>
      </c>
      <c r="AL118" s="37">
        <f>IF(AN118=21,J118,0)</f>
        <v>0</v>
      </c>
      <c r="AN118" s="37">
        <v>21</v>
      </c>
      <c r="AO118" s="37">
        <f>G118*0.317436677</f>
        <v>0</v>
      </c>
      <c r="AP118" s="37">
        <f>G118*(1-0.317436677)</f>
        <v>0</v>
      </c>
      <c r="AQ118" s="68" t="s">
        <v>237</v>
      </c>
      <c r="AV118" s="37">
        <f>AW118+AX118</f>
        <v>0</v>
      </c>
      <c r="AW118" s="37">
        <f>F118*AO118</f>
        <v>0</v>
      </c>
      <c r="AX118" s="37">
        <f>F118*AP118</f>
        <v>0</v>
      </c>
      <c r="AY118" s="68" t="s">
        <v>479</v>
      </c>
      <c r="AZ118" s="68" t="s">
        <v>480</v>
      </c>
      <c r="BA118" s="49" t="s">
        <v>220</v>
      </c>
      <c r="BC118" s="37">
        <f>AW118+AX118</f>
        <v>0</v>
      </c>
      <c r="BD118" s="37">
        <f>G118/(100-BE118)*100</f>
        <v>0</v>
      </c>
      <c r="BE118" s="37">
        <v>0</v>
      </c>
      <c r="BF118" s="37">
        <f>118</f>
        <v>118</v>
      </c>
      <c r="BH118" s="37">
        <f>F118*AO118</f>
        <v>0</v>
      </c>
      <c r="BI118" s="37">
        <f>F118*AP118</f>
        <v>0</v>
      </c>
      <c r="BJ118" s="37">
        <f>F118*G118</f>
        <v>0</v>
      </c>
      <c r="BK118" s="37"/>
      <c r="BL118" s="37">
        <v>721</v>
      </c>
      <c r="BW118" s="37">
        <v>21</v>
      </c>
      <c r="BX118" s="3" t="s">
        <v>489</v>
      </c>
    </row>
    <row r="119" spans="1:76" x14ac:dyDescent="0.25">
      <c r="A119" s="1" t="s">
        <v>490</v>
      </c>
      <c r="B119" s="2" t="s">
        <v>491</v>
      </c>
      <c r="C119" s="258" t="s">
        <v>492</v>
      </c>
      <c r="D119" s="259"/>
      <c r="E119" s="2" t="s">
        <v>63</v>
      </c>
      <c r="F119" s="37">
        <v>43.876300000000001</v>
      </c>
      <c r="G119" s="66">
        <v>0</v>
      </c>
      <c r="H119" s="37">
        <f>F119*AO119</f>
        <v>0</v>
      </c>
      <c r="I119" s="37">
        <f>F119*AP119</f>
        <v>0</v>
      </c>
      <c r="J119" s="37">
        <f>F119*G119</f>
        <v>0</v>
      </c>
      <c r="K119" s="67" t="s">
        <v>217</v>
      </c>
      <c r="Z119" s="37">
        <f>IF(AQ119="5",BJ119,0)</f>
        <v>0</v>
      </c>
      <c r="AB119" s="37">
        <f>IF(AQ119="1",BH119,0)</f>
        <v>0</v>
      </c>
      <c r="AC119" s="37">
        <f>IF(AQ119="1",BI119,0)</f>
        <v>0</v>
      </c>
      <c r="AD119" s="37">
        <f>IF(AQ119="7",BH119,0)</f>
        <v>0</v>
      </c>
      <c r="AE119" s="37">
        <f>IF(AQ119="7",BI119,0)</f>
        <v>0</v>
      </c>
      <c r="AF119" s="37">
        <f>IF(AQ119="2",BH119,0)</f>
        <v>0</v>
      </c>
      <c r="AG119" s="37">
        <f>IF(AQ119="2",BI119,0)</f>
        <v>0</v>
      </c>
      <c r="AH119" s="37">
        <f>IF(AQ119="0",BJ119,0)</f>
        <v>0</v>
      </c>
      <c r="AI119" s="49" t="s">
        <v>89</v>
      </c>
      <c r="AJ119" s="37">
        <f>IF(AN119=0,J119,0)</f>
        <v>0</v>
      </c>
      <c r="AK119" s="37">
        <f>IF(AN119=12,J119,0)</f>
        <v>0</v>
      </c>
      <c r="AL119" s="37">
        <f>IF(AN119=21,J119,0)</f>
        <v>0</v>
      </c>
      <c r="AN119" s="37">
        <v>21</v>
      </c>
      <c r="AO119" s="37">
        <f>G119*0</f>
        <v>0</v>
      </c>
      <c r="AP119" s="37">
        <f>G119*(1-0)</f>
        <v>0</v>
      </c>
      <c r="AQ119" s="68" t="s">
        <v>231</v>
      </c>
      <c r="AV119" s="37">
        <f>AW119+AX119</f>
        <v>0</v>
      </c>
      <c r="AW119" s="37">
        <f>F119*AO119</f>
        <v>0</v>
      </c>
      <c r="AX119" s="37">
        <f>F119*AP119</f>
        <v>0</v>
      </c>
      <c r="AY119" s="68" t="s">
        <v>479</v>
      </c>
      <c r="AZ119" s="68" t="s">
        <v>480</v>
      </c>
      <c r="BA119" s="49" t="s">
        <v>220</v>
      </c>
      <c r="BC119" s="37">
        <f>AW119+AX119</f>
        <v>0</v>
      </c>
      <c r="BD119" s="37">
        <f>G119/(100-BE119)*100</f>
        <v>0</v>
      </c>
      <c r="BE119" s="37">
        <v>0</v>
      </c>
      <c r="BF119" s="37">
        <f>119</f>
        <v>119</v>
      </c>
      <c r="BH119" s="37">
        <f>F119*AO119</f>
        <v>0</v>
      </c>
      <c r="BI119" s="37">
        <f>F119*AP119</f>
        <v>0</v>
      </c>
      <c r="BJ119" s="37">
        <f>F119*G119</f>
        <v>0</v>
      </c>
      <c r="BK119" s="37"/>
      <c r="BL119" s="37">
        <v>721</v>
      </c>
      <c r="BW119" s="37">
        <v>21</v>
      </c>
      <c r="BX119" s="3" t="s">
        <v>492</v>
      </c>
    </row>
    <row r="120" spans="1:76" x14ac:dyDescent="0.25">
      <c r="A120" s="61" t="s">
        <v>4</v>
      </c>
      <c r="B120" s="62" t="s">
        <v>131</v>
      </c>
      <c r="C120" s="343" t="s">
        <v>132</v>
      </c>
      <c r="D120" s="344"/>
      <c r="E120" s="63" t="s">
        <v>81</v>
      </c>
      <c r="F120" s="63" t="s">
        <v>81</v>
      </c>
      <c r="G120" s="64" t="s">
        <v>81</v>
      </c>
      <c r="H120" s="43">
        <f>SUM(H121:H131)</f>
        <v>0</v>
      </c>
      <c r="I120" s="43">
        <f>SUM(I121:I131)</f>
        <v>0</v>
      </c>
      <c r="J120" s="43">
        <f>SUM(J121:J131)</f>
        <v>0</v>
      </c>
      <c r="K120" s="65" t="s">
        <v>4</v>
      </c>
      <c r="AI120" s="49" t="s">
        <v>89</v>
      </c>
      <c r="AS120" s="43">
        <f>SUM(AJ121:AJ131)</f>
        <v>0</v>
      </c>
      <c r="AT120" s="43">
        <f>SUM(AK121:AK131)</f>
        <v>0</v>
      </c>
      <c r="AU120" s="43">
        <f>SUM(AL121:AL131)</f>
        <v>0</v>
      </c>
    </row>
    <row r="121" spans="1:76" x14ac:dyDescent="0.25">
      <c r="A121" s="1" t="s">
        <v>493</v>
      </c>
      <c r="B121" s="2" t="s">
        <v>494</v>
      </c>
      <c r="C121" s="258" t="s">
        <v>495</v>
      </c>
      <c r="D121" s="259"/>
      <c r="E121" s="2" t="s">
        <v>313</v>
      </c>
      <c r="F121" s="37">
        <v>6</v>
      </c>
      <c r="G121" s="66">
        <v>0</v>
      </c>
      <c r="H121" s="37">
        <f t="shared" ref="H121:H131" si="88">F121*AO121</f>
        <v>0</v>
      </c>
      <c r="I121" s="37">
        <f t="shared" ref="I121:I131" si="89">F121*AP121</f>
        <v>0</v>
      </c>
      <c r="J121" s="37">
        <f t="shared" ref="J121:J131" si="90">F121*G121</f>
        <v>0</v>
      </c>
      <c r="K121" s="67" t="s">
        <v>217</v>
      </c>
      <c r="Z121" s="37">
        <f t="shared" ref="Z121:Z131" si="91">IF(AQ121="5",BJ121,0)</f>
        <v>0</v>
      </c>
      <c r="AB121" s="37">
        <f t="shared" ref="AB121:AB131" si="92">IF(AQ121="1",BH121,0)</f>
        <v>0</v>
      </c>
      <c r="AC121" s="37">
        <f t="shared" ref="AC121:AC131" si="93">IF(AQ121="1",BI121,0)</f>
        <v>0</v>
      </c>
      <c r="AD121" s="37">
        <f t="shared" ref="AD121:AD131" si="94">IF(AQ121="7",BH121,0)</f>
        <v>0</v>
      </c>
      <c r="AE121" s="37">
        <f t="shared" ref="AE121:AE131" si="95">IF(AQ121="7",BI121,0)</f>
        <v>0</v>
      </c>
      <c r="AF121" s="37">
        <f t="shared" ref="AF121:AF131" si="96">IF(AQ121="2",BH121,0)</f>
        <v>0</v>
      </c>
      <c r="AG121" s="37">
        <f t="shared" ref="AG121:AG131" si="97">IF(AQ121="2",BI121,0)</f>
        <v>0</v>
      </c>
      <c r="AH121" s="37">
        <f t="shared" ref="AH121:AH131" si="98">IF(AQ121="0",BJ121,0)</f>
        <v>0</v>
      </c>
      <c r="AI121" s="49" t="s">
        <v>89</v>
      </c>
      <c r="AJ121" s="37">
        <f t="shared" ref="AJ121:AJ131" si="99">IF(AN121=0,J121,0)</f>
        <v>0</v>
      </c>
      <c r="AK121" s="37">
        <f t="shared" ref="AK121:AK131" si="100">IF(AN121=12,J121,0)</f>
        <v>0</v>
      </c>
      <c r="AL121" s="37">
        <f t="shared" ref="AL121:AL131" si="101">IF(AN121=21,J121,0)</f>
        <v>0</v>
      </c>
      <c r="AN121" s="37">
        <v>21</v>
      </c>
      <c r="AO121" s="37">
        <f>G121*0.260794247</f>
        <v>0</v>
      </c>
      <c r="AP121" s="37">
        <f>G121*(1-0.260794247)</f>
        <v>0</v>
      </c>
      <c r="AQ121" s="68" t="s">
        <v>237</v>
      </c>
      <c r="AV121" s="37">
        <f t="shared" ref="AV121:AV131" si="102">AW121+AX121</f>
        <v>0</v>
      </c>
      <c r="AW121" s="37">
        <f t="shared" ref="AW121:AW131" si="103">F121*AO121</f>
        <v>0</v>
      </c>
      <c r="AX121" s="37">
        <f t="shared" ref="AX121:AX131" si="104">F121*AP121</f>
        <v>0</v>
      </c>
      <c r="AY121" s="68" t="s">
        <v>496</v>
      </c>
      <c r="AZ121" s="68" t="s">
        <v>480</v>
      </c>
      <c r="BA121" s="49" t="s">
        <v>220</v>
      </c>
      <c r="BC121" s="37">
        <f t="shared" ref="BC121:BC131" si="105">AW121+AX121</f>
        <v>0</v>
      </c>
      <c r="BD121" s="37">
        <f t="shared" ref="BD121:BD131" si="106">G121/(100-BE121)*100</f>
        <v>0</v>
      </c>
      <c r="BE121" s="37">
        <v>0</v>
      </c>
      <c r="BF121" s="37">
        <f>121</f>
        <v>121</v>
      </c>
      <c r="BH121" s="37">
        <f t="shared" ref="BH121:BH131" si="107">F121*AO121</f>
        <v>0</v>
      </c>
      <c r="BI121" s="37">
        <f t="shared" ref="BI121:BI131" si="108">F121*AP121</f>
        <v>0</v>
      </c>
      <c r="BJ121" s="37">
        <f t="shared" ref="BJ121:BJ131" si="109">F121*G121</f>
        <v>0</v>
      </c>
      <c r="BK121" s="37"/>
      <c r="BL121" s="37">
        <v>722</v>
      </c>
      <c r="BW121" s="37">
        <v>21</v>
      </c>
      <c r="BX121" s="3" t="s">
        <v>495</v>
      </c>
    </row>
    <row r="122" spans="1:76" x14ac:dyDescent="0.25">
      <c r="A122" s="1" t="s">
        <v>497</v>
      </c>
      <c r="B122" s="2" t="s">
        <v>498</v>
      </c>
      <c r="C122" s="258" t="s">
        <v>499</v>
      </c>
      <c r="D122" s="259"/>
      <c r="E122" s="2" t="s">
        <v>313</v>
      </c>
      <c r="F122" s="37">
        <v>58.8</v>
      </c>
      <c r="G122" s="66">
        <v>0</v>
      </c>
      <c r="H122" s="37">
        <f t="shared" si="88"/>
        <v>0</v>
      </c>
      <c r="I122" s="37">
        <f t="shared" si="89"/>
        <v>0</v>
      </c>
      <c r="J122" s="37">
        <f t="shared" si="90"/>
        <v>0</v>
      </c>
      <c r="K122" s="67" t="s">
        <v>217</v>
      </c>
      <c r="Z122" s="37">
        <f t="shared" si="91"/>
        <v>0</v>
      </c>
      <c r="AB122" s="37">
        <f t="shared" si="92"/>
        <v>0</v>
      </c>
      <c r="AC122" s="37">
        <f t="shared" si="93"/>
        <v>0</v>
      </c>
      <c r="AD122" s="37">
        <f t="shared" si="94"/>
        <v>0</v>
      </c>
      <c r="AE122" s="37">
        <f t="shared" si="95"/>
        <v>0</v>
      </c>
      <c r="AF122" s="37">
        <f t="shared" si="96"/>
        <v>0</v>
      </c>
      <c r="AG122" s="37">
        <f t="shared" si="97"/>
        <v>0</v>
      </c>
      <c r="AH122" s="37">
        <f t="shared" si="98"/>
        <v>0</v>
      </c>
      <c r="AI122" s="49" t="s">
        <v>89</v>
      </c>
      <c r="AJ122" s="37">
        <f t="shared" si="99"/>
        <v>0</v>
      </c>
      <c r="AK122" s="37">
        <f t="shared" si="100"/>
        <v>0</v>
      </c>
      <c r="AL122" s="37">
        <f t="shared" si="101"/>
        <v>0</v>
      </c>
      <c r="AN122" s="37">
        <v>21</v>
      </c>
      <c r="AO122" s="37">
        <f>G122*0.309993573</f>
        <v>0</v>
      </c>
      <c r="AP122" s="37">
        <f>G122*(1-0.309993573)</f>
        <v>0</v>
      </c>
      <c r="AQ122" s="68" t="s">
        <v>237</v>
      </c>
      <c r="AV122" s="37">
        <f t="shared" si="102"/>
        <v>0</v>
      </c>
      <c r="AW122" s="37">
        <f t="shared" si="103"/>
        <v>0</v>
      </c>
      <c r="AX122" s="37">
        <f t="shared" si="104"/>
        <v>0</v>
      </c>
      <c r="AY122" s="68" t="s">
        <v>496</v>
      </c>
      <c r="AZ122" s="68" t="s">
        <v>480</v>
      </c>
      <c r="BA122" s="49" t="s">
        <v>220</v>
      </c>
      <c r="BC122" s="37">
        <f t="shared" si="105"/>
        <v>0</v>
      </c>
      <c r="BD122" s="37">
        <f t="shared" si="106"/>
        <v>0</v>
      </c>
      <c r="BE122" s="37">
        <v>0</v>
      </c>
      <c r="BF122" s="37">
        <f>122</f>
        <v>122</v>
      </c>
      <c r="BH122" s="37">
        <f t="shared" si="107"/>
        <v>0</v>
      </c>
      <c r="BI122" s="37">
        <f t="shared" si="108"/>
        <v>0</v>
      </c>
      <c r="BJ122" s="37">
        <f t="shared" si="109"/>
        <v>0</v>
      </c>
      <c r="BK122" s="37"/>
      <c r="BL122" s="37">
        <v>722</v>
      </c>
      <c r="BW122" s="37">
        <v>21</v>
      </c>
      <c r="BX122" s="3" t="s">
        <v>499</v>
      </c>
    </row>
    <row r="123" spans="1:76" x14ac:dyDescent="0.25">
      <c r="A123" s="1" t="s">
        <v>163</v>
      </c>
      <c r="B123" s="2" t="s">
        <v>500</v>
      </c>
      <c r="C123" s="258" t="s">
        <v>501</v>
      </c>
      <c r="D123" s="259"/>
      <c r="E123" s="2" t="s">
        <v>309</v>
      </c>
      <c r="F123" s="37">
        <v>3</v>
      </c>
      <c r="G123" s="66">
        <v>0</v>
      </c>
      <c r="H123" s="37">
        <f t="shared" si="88"/>
        <v>0</v>
      </c>
      <c r="I123" s="37">
        <f t="shared" si="89"/>
        <v>0</v>
      </c>
      <c r="J123" s="37">
        <f t="shared" si="90"/>
        <v>0</v>
      </c>
      <c r="K123" s="67" t="s">
        <v>327</v>
      </c>
      <c r="Z123" s="37">
        <f t="shared" si="91"/>
        <v>0</v>
      </c>
      <c r="AB123" s="37">
        <f t="shared" si="92"/>
        <v>0</v>
      </c>
      <c r="AC123" s="37">
        <f t="shared" si="93"/>
        <v>0</v>
      </c>
      <c r="AD123" s="37">
        <f t="shared" si="94"/>
        <v>0</v>
      </c>
      <c r="AE123" s="37">
        <f t="shared" si="95"/>
        <v>0</v>
      </c>
      <c r="AF123" s="37">
        <f t="shared" si="96"/>
        <v>0</v>
      </c>
      <c r="AG123" s="37">
        <f t="shared" si="97"/>
        <v>0</v>
      </c>
      <c r="AH123" s="37">
        <f t="shared" si="98"/>
        <v>0</v>
      </c>
      <c r="AI123" s="49" t="s">
        <v>89</v>
      </c>
      <c r="AJ123" s="37">
        <f t="shared" si="99"/>
        <v>0</v>
      </c>
      <c r="AK123" s="37">
        <f t="shared" si="100"/>
        <v>0</v>
      </c>
      <c r="AL123" s="37">
        <f t="shared" si="101"/>
        <v>0</v>
      </c>
      <c r="AN123" s="37">
        <v>21</v>
      </c>
      <c r="AO123" s="37">
        <f>G123*0.731844262</f>
        <v>0</v>
      </c>
      <c r="AP123" s="37">
        <f>G123*(1-0.731844262)</f>
        <v>0</v>
      </c>
      <c r="AQ123" s="68" t="s">
        <v>237</v>
      </c>
      <c r="AV123" s="37">
        <f t="shared" si="102"/>
        <v>0</v>
      </c>
      <c r="AW123" s="37">
        <f t="shared" si="103"/>
        <v>0</v>
      </c>
      <c r="AX123" s="37">
        <f t="shared" si="104"/>
        <v>0</v>
      </c>
      <c r="AY123" s="68" t="s">
        <v>496</v>
      </c>
      <c r="AZ123" s="68" t="s">
        <v>480</v>
      </c>
      <c r="BA123" s="49" t="s">
        <v>220</v>
      </c>
      <c r="BC123" s="37">
        <f t="shared" si="105"/>
        <v>0</v>
      </c>
      <c r="BD123" s="37">
        <f t="shared" si="106"/>
        <v>0</v>
      </c>
      <c r="BE123" s="37">
        <v>0</v>
      </c>
      <c r="BF123" s="37">
        <f>123</f>
        <v>123</v>
      </c>
      <c r="BH123" s="37">
        <f t="shared" si="107"/>
        <v>0</v>
      </c>
      <c r="BI123" s="37">
        <f t="shared" si="108"/>
        <v>0</v>
      </c>
      <c r="BJ123" s="37">
        <f t="shared" si="109"/>
        <v>0</v>
      </c>
      <c r="BK123" s="37"/>
      <c r="BL123" s="37">
        <v>722</v>
      </c>
      <c r="BW123" s="37">
        <v>21</v>
      </c>
      <c r="BX123" s="3" t="s">
        <v>501</v>
      </c>
    </row>
    <row r="124" spans="1:76" x14ac:dyDescent="0.25">
      <c r="A124" s="1" t="s">
        <v>165</v>
      </c>
      <c r="B124" s="2" t="s">
        <v>502</v>
      </c>
      <c r="C124" s="258" t="s">
        <v>503</v>
      </c>
      <c r="D124" s="259"/>
      <c r="E124" s="2" t="s">
        <v>504</v>
      </c>
      <c r="F124" s="37">
        <v>3</v>
      </c>
      <c r="G124" s="66">
        <v>0</v>
      </c>
      <c r="H124" s="37">
        <f t="shared" si="88"/>
        <v>0</v>
      </c>
      <c r="I124" s="37">
        <f t="shared" si="89"/>
        <v>0</v>
      </c>
      <c r="J124" s="37">
        <f t="shared" si="90"/>
        <v>0</v>
      </c>
      <c r="K124" s="67" t="s">
        <v>217</v>
      </c>
      <c r="Z124" s="37">
        <f t="shared" si="91"/>
        <v>0</v>
      </c>
      <c r="AB124" s="37">
        <f t="shared" si="92"/>
        <v>0</v>
      </c>
      <c r="AC124" s="37">
        <f t="shared" si="93"/>
        <v>0</v>
      </c>
      <c r="AD124" s="37">
        <f t="shared" si="94"/>
        <v>0</v>
      </c>
      <c r="AE124" s="37">
        <f t="shared" si="95"/>
        <v>0</v>
      </c>
      <c r="AF124" s="37">
        <f t="shared" si="96"/>
        <v>0</v>
      </c>
      <c r="AG124" s="37">
        <f t="shared" si="97"/>
        <v>0</v>
      </c>
      <c r="AH124" s="37">
        <f t="shared" si="98"/>
        <v>0</v>
      </c>
      <c r="AI124" s="49" t="s">
        <v>89</v>
      </c>
      <c r="AJ124" s="37">
        <f t="shared" si="99"/>
        <v>0</v>
      </c>
      <c r="AK124" s="37">
        <f t="shared" si="100"/>
        <v>0</v>
      </c>
      <c r="AL124" s="37">
        <f t="shared" si="101"/>
        <v>0</v>
      </c>
      <c r="AN124" s="37">
        <v>21</v>
      </c>
      <c r="AO124" s="37">
        <f>G124*0.703469388</f>
        <v>0</v>
      </c>
      <c r="AP124" s="37">
        <f>G124*(1-0.703469388)</f>
        <v>0</v>
      </c>
      <c r="AQ124" s="68" t="s">
        <v>237</v>
      </c>
      <c r="AV124" s="37">
        <f t="shared" si="102"/>
        <v>0</v>
      </c>
      <c r="AW124" s="37">
        <f t="shared" si="103"/>
        <v>0</v>
      </c>
      <c r="AX124" s="37">
        <f t="shared" si="104"/>
        <v>0</v>
      </c>
      <c r="AY124" s="68" t="s">
        <v>496</v>
      </c>
      <c r="AZ124" s="68" t="s">
        <v>480</v>
      </c>
      <c r="BA124" s="49" t="s">
        <v>220</v>
      </c>
      <c r="BC124" s="37">
        <f t="shared" si="105"/>
        <v>0</v>
      </c>
      <c r="BD124" s="37">
        <f t="shared" si="106"/>
        <v>0</v>
      </c>
      <c r="BE124" s="37">
        <v>0</v>
      </c>
      <c r="BF124" s="37">
        <f>124</f>
        <v>124</v>
      </c>
      <c r="BH124" s="37">
        <f t="shared" si="107"/>
        <v>0</v>
      </c>
      <c r="BI124" s="37">
        <f t="shared" si="108"/>
        <v>0</v>
      </c>
      <c r="BJ124" s="37">
        <f t="shared" si="109"/>
        <v>0</v>
      </c>
      <c r="BK124" s="37"/>
      <c r="BL124" s="37">
        <v>722</v>
      </c>
      <c r="BW124" s="37">
        <v>21</v>
      </c>
      <c r="BX124" s="3" t="s">
        <v>503</v>
      </c>
    </row>
    <row r="125" spans="1:76" x14ac:dyDescent="0.25">
      <c r="A125" s="1" t="s">
        <v>505</v>
      </c>
      <c r="B125" s="2" t="s">
        <v>506</v>
      </c>
      <c r="C125" s="258" t="s">
        <v>507</v>
      </c>
      <c r="D125" s="259"/>
      <c r="E125" s="2" t="s">
        <v>309</v>
      </c>
      <c r="F125" s="37">
        <v>9</v>
      </c>
      <c r="G125" s="66">
        <v>0</v>
      </c>
      <c r="H125" s="37">
        <f t="shared" si="88"/>
        <v>0</v>
      </c>
      <c r="I125" s="37">
        <f t="shared" si="89"/>
        <v>0</v>
      </c>
      <c r="J125" s="37">
        <f t="shared" si="90"/>
        <v>0</v>
      </c>
      <c r="K125" s="67" t="s">
        <v>217</v>
      </c>
      <c r="Z125" s="37">
        <f t="shared" si="91"/>
        <v>0</v>
      </c>
      <c r="AB125" s="37">
        <f t="shared" si="92"/>
        <v>0</v>
      </c>
      <c r="AC125" s="37">
        <f t="shared" si="93"/>
        <v>0</v>
      </c>
      <c r="AD125" s="37">
        <f t="shared" si="94"/>
        <v>0</v>
      </c>
      <c r="AE125" s="37">
        <f t="shared" si="95"/>
        <v>0</v>
      </c>
      <c r="AF125" s="37">
        <f t="shared" si="96"/>
        <v>0</v>
      </c>
      <c r="AG125" s="37">
        <f t="shared" si="97"/>
        <v>0</v>
      </c>
      <c r="AH125" s="37">
        <f t="shared" si="98"/>
        <v>0</v>
      </c>
      <c r="AI125" s="49" t="s">
        <v>89</v>
      </c>
      <c r="AJ125" s="37">
        <f t="shared" si="99"/>
        <v>0</v>
      </c>
      <c r="AK125" s="37">
        <f t="shared" si="100"/>
        <v>0</v>
      </c>
      <c r="AL125" s="37">
        <f t="shared" si="101"/>
        <v>0</v>
      </c>
      <c r="AN125" s="37">
        <v>21</v>
      </c>
      <c r="AO125" s="37">
        <f>G125*1</f>
        <v>0</v>
      </c>
      <c r="AP125" s="37">
        <f>G125*(1-1)</f>
        <v>0</v>
      </c>
      <c r="AQ125" s="68" t="s">
        <v>237</v>
      </c>
      <c r="AV125" s="37">
        <f t="shared" si="102"/>
        <v>0</v>
      </c>
      <c r="AW125" s="37">
        <f t="shared" si="103"/>
        <v>0</v>
      </c>
      <c r="AX125" s="37">
        <f t="shared" si="104"/>
        <v>0</v>
      </c>
      <c r="AY125" s="68" t="s">
        <v>496</v>
      </c>
      <c r="AZ125" s="68" t="s">
        <v>480</v>
      </c>
      <c r="BA125" s="49" t="s">
        <v>220</v>
      </c>
      <c r="BC125" s="37">
        <f t="shared" si="105"/>
        <v>0</v>
      </c>
      <c r="BD125" s="37">
        <f t="shared" si="106"/>
        <v>0</v>
      </c>
      <c r="BE125" s="37">
        <v>0</v>
      </c>
      <c r="BF125" s="37">
        <f>125</f>
        <v>125</v>
      </c>
      <c r="BH125" s="37">
        <f t="shared" si="107"/>
        <v>0</v>
      </c>
      <c r="BI125" s="37">
        <f t="shared" si="108"/>
        <v>0</v>
      </c>
      <c r="BJ125" s="37">
        <f t="shared" si="109"/>
        <v>0</v>
      </c>
      <c r="BK125" s="37"/>
      <c r="BL125" s="37">
        <v>722</v>
      </c>
      <c r="BW125" s="37">
        <v>21</v>
      </c>
      <c r="BX125" s="3" t="s">
        <v>507</v>
      </c>
    </row>
    <row r="126" spans="1:76" x14ac:dyDescent="0.25">
      <c r="A126" s="1" t="s">
        <v>508</v>
      </c>
      <c r="B126" s="2" t="s">
        <v>509</v>
      </c>
      <c r="C126" s="258" t="s">
        <v>510</v>
      </c>
      <c r="D126" s="259"/>
      <c r="E126" s="2" t="s">
        <v>313</v>
      </c>
      <c r="F126" s="37">
        <v>6</v>
      </c>
      <c r="G126" s="66">
        <v>0</v>
      </c>
      <c r="H126" s="37">
        <f t="shared" si="88"/>
        <v>0</v>
      </c>
      <c r="I126" s="37">
        <f t="shared" si="89"/>
        <v>0</v>
      </c>
      <c r="J126" s="37">
        <f t="shared" si="90"/>
        <v>0</v>
      </c>
      <c r="K126" s="67" t="s">
        <v>217</v>
      </c>
      <c r="Z126" s="37">
        <f t="shared" si="91"/>
        <v>0</v>
      </c>
      <c r="AB126" s="37">
        <f t="shared" si="92"/>
        <v>0</v>
      </c>
      <c r="AC126" s="37">
        <f t="shared" si="93"/>
        <v>0</v>
      </c>
      <c r="AD126" s="37">
        <f t="shared" si="94"/>
        <v>0</v>
      </c>
      <c r="AE126" s="37">
        <f t="shared" si="95"/>
        <v>0</v>
      </c>
      <c r="AF126" s="37">
        <f t="shared" si="96"/>
        <v>0</v>
      </c>
      <c r="AG126" s="37">
        <f t="shared" si="97"/>
        <v>0</v>
      </c>
      <c r="AH126" s="37">
        <f t="shared" si="98"/>
        <v>0</v>
      </c>
      <c r="AI126" s="49" t="s">
        <v>89</v>
      </c>
      <c r="AJ126" s="37">
        <f t="shared" si="99"/>
        <v>0</v>
      </c>
      <c r="AK126" s="37">
        <f t="shared" si="100"/>
        <v>0</v>
      </c>
      <c r="AL126" s="37">
        <f t="shared" si="101"/>
        <v>0</v>
      </c>
      <c r="AN126" s="37">
        <v>21</v>
      </c>
      <c r="AO126" s="37">
        <f>G126*0.248758415</f>
        <v>0</v>
      </c>
      <c r="AP126" s="37">
        <f>G126*(1-0.248758415)</f>
        <v>0</v>
      </c>
      <c r="AQ126" s="68" t="s">
        <v>237</v>
      </c>
      <c r="AV126" s="37">
        <f t="shared" si="102"/>
        <v>0</v>
      </c>
      <c r="AW126" s="37">
        <f t="shared" si="103"/>
        <v>0</v>
      </c>
      <c r="AX126" s="37">
        <f t="shared" si="104"/>
        <v>0</v>
      </c>
      <c r="AY126" s="68" t="s">
        <v>496</v>
      </c>
      <c r="AZ126" s="68" t="s">
        <v>480</v>
      </c>
      <c r="BA126" s="49" t="s">
        <v>220</v>
      </c>
      <c r="BC126" s="37">
        <f t="shared" si="105"/>
        <v>0</v>
      </c>
      <c r="BD126" s="37">
        <f t="shared" si="106"/>
        <v>0</v>
      </c>
      <c r="BE126" s="37">
        <v>0</v>
      </c>
      <c r="BF126" s="37">
        <f>126</f>
        <v>126</v>
      </c>
      <c r="BH126" s="37">
        <f t="shared" si="107"/>
        <v>0</v>
      </c>
      <c r="BI126" s="37">
        <f t="shared" si="108"/>
        <v>0</v>
      </c>
      <c r="BJ126" s="37">
        <f t="shared" si="109"/>
        <v>0</v>
      </c>
      <c r="BK126" s="37"/>
      <c r="BL126" s="37">
        <v>722</v>
      </c>
      <c r="BW126" s="37">
        <v>21</v>
      </c>
      <c r="BX126" s="3" t="s">
        <v>510</v>
      </c>
    </row>
    <row r="127" spans="1:76" x14ac:dyDescent="0.25">
      <c r="A127" s="1" t="s">
        <v>167</v>
      </c>
      <c r="B127" s="2" t="s">
        <v>511</v>
      </c>
      <c r="C127" s="258" t="s">
        <v>512</v>
      </c>
      <c r="D127" s="259"/>
      <c r="E127" s="2" t="s">
        <v>313</v>
      </c>
      <c r="F127" s="37">
        <v>58.8</v>
      </c>
      <c r="G127" s="66">
        <v>0</v>
      </c>
      <c r="H127" s="37">
        <f t="shared" si="88"/>
        <v>0</v>
      </c>
      <c r="I127" s="37">
        <f t="shared" si="89"/>
        <v>0</v>
      </c>
      <c r="J127" s="37">
        <f t="shared" si="90"/>
        <v>0</v>
      </c>
      <c r="K127" s="67" t="s">
        <v>217</v>
      </c>
      <c r="Z127" s="37">
        <f t="shared" si="91"/>
        <v>0</v>
      </c>
      <c r="AB127" s="37">
        <f t="shared" si="92"/>
        <v>0</v>
      </c>
      <c r="AC127" s="37">
        <f t="shared" si="93"/>
        <v>0</v>
      </c>
      <c r="AD127" s="37">
        <f t="shared" si="94"/>
        <v>0</v>
      </c>
      <c r="AE127" s="37">
        <f t="shared" si="95"/>
        <v>0</v>
      </c>
      <c r="AF127" s="37">
        <f t="shared" si="96"/>
        <v>0</v>
      </c>
      <c r="AG127" s="37">
        <f t="shared" si="97"/>
        <v>0</v>
      </c>
      <c r="AH127" s="37">
        <f t="shared" si="98"/>
        <v>0</v>
      </c>
      <c r="AI127" s="49" t="s">
        <v>89</v>
      </c>
      <c r="AJ127" s="37">
        <f t="shared" si="99"/>
        <v>0</v>
      </c>
      <c r="AK127" s="37">
        <f t="shared" si="100"/>
        <v>0</v>
      </c>
      <c r="AL127" s="37">
        <f t="shared" si="101"/>
        <v>0</v>
      </c>
      <c r="AN127" s="37">
        <v>21</v>
      </c>
      <c r="AO127" s="37">
        <f>G127*0.262525604</f>
        <v>0</v>
      </c>
      <c r="AP127" s="37">
        <f>G127*(1-0.262525604)</f>
        <v>0</v>
      </c>
      <c r="AQ127" s="68" t="s">
        <v>237</v>
      </c>
      <c r="AV127" s="37">
        <f t="shared" si="102"/>
        <v>0</v>
      </c>
      <c r="AW127" s="37">
        <f t="shared" si="103"/>
        <v>0</v>
      </c>
      <c r="AX127" s="37">
        <f t="shared" si="104"/>
        <v>0</v>
      </c>
      <c r="AY127" s="68" t="s">
        <v>496</v>
      </c>
      <c r="AZ127" s="68" t="s">
        <v>480</v>
      </c>
      <c r="BA127" s="49" t="s">
        <v>220</v>
      </c>
      <c r="BC127" s="37">
        <f t="shared" si="105"/>
        <v>0</v>
      </c>
      <c r="BD127" s="37">
        <f t="shared" si="106"/>
        <v>0</v>
      </c>
      <c r="BE127" s="37">
        <v>0</v>
      </c>
      <c r="BF127" s="37">
        <f>127</f>
        <v>127</v>
      </c>
      <c r="BH127" s="37">
        <f t="shared" si="107"/>
        <v>0</v>
      </c>
      <c r="BI127" s="37">
        <f t="shared" si="108"/>
        <v>0</v>
      </c>
      <c r="BJ127" s="37">
        <f t="shared" si="109"/>
        <v>0</v>
      </c>
      <c r="BK127" s="37"/>
      <c r="BL127" s="37">
        <v>722</v>
      </c>
      <c r="BW127" s="37">
        <v>21</v>
      </c>
      <c r="BX127" s="3" t="s">
        <v>512</v>
      </c>
    </row>
    <row r="128" spans="1:76" x14ac:dyDescent="0.25">
      <c r="A128" s="1" t="s">
        <v>169</v>
      </c>
      <c r="B128" s="2" t="s">
        <v>513</v>
      </c>
      <c r="C128" s="258" t="s">
        <v>514</v>
      </c>
      <c r="D128" s="259"/>
      <c r="E128" s="2" t="s">
        <v>313</v>
      </c>
      <c r="F128" s="37">
        <v>64.8</v>
      </c>
      <c r="G128" s="66">
        <v>0</v>
      </c>
      <c r="H128" s="37">
        <f t="shared" si="88"/>
        <v>0</v>
      </c>
      <c r="I128" s="37">
        <f t="shared" si="89"/>
        <v>0</v>
      </c>
      <c r="J128" s="37">
        <f t="shared" si="90"/>
        <v>0</v>
      </c>
      <c r="K128" s="67" t="s">
        <v>217</v>
      </c>
      <c r="Z128" s="37">
        <f t="shared" si="91"/>
        <v>0</v>
      </c>
      <c r="AB128" s="37">
        <f t="shared" si="92"/>
        <v>0</v>
      </c>
      <c r="AC128" s="37">
        <f t="shared" si="93"/>
        <v>0</v>
      </c>
      <c r="AD128" s="37">
        <f t="shared" si="94"/>
        <v>0</v>
      </c>
      <c r="AE128" s="37">
        <f t="shared" si="95"/>
        <v>0</v>
      </c>
      <c r="AF128" s="37">
        <f t="shared" si="96"/>
        <v>0</v>
      </c>
      <c r="AG128" s="37">
        <f t="shared" si="97"/>
        <v>0</v>
      </c>
      <c r="AH128" s="37">
        <f t="shared" si="98"/>
        <v>0</v>
      </c>
      <c r="AI128" s="49" t="s">
        <v>89</v>
      </c>
      <c r="AJ128" s="37">
        <f t="shared" si="99"/>
        <v>0</v>
      </c>
      <c r="AK128" s="37">
        <f t="shared" si="100"/>
        <v>0</v>
      </c>
      <c r="AL128" s="37">
        <f t="shared" si="101"/>
        <v>0</v>
      </c>
      <c r="AN128" s="37">
        <v>21</v>
      </c>
      <c r="AO128" s="37">
        <f>G128*0.015294118</f>
        <v>0</v>
      </c>
      <c r="AP128" s="37">
        <f>G128*(1-0.015294118)</f>
        <v>0</v>
      </c>
      <c r="AQ128" s="68" t="s">
        <v>237</v>
      </c>
      <c r="AV128" s="37">
        <f t="shared" si="102"/>
        <v>0</v>
      </c>
      <c r="AW128" s="37">
        <f t="shared" si="103"/>
        <v>0</v>
      </c>
      <c r="AX128" s="37">
        <f t="shared" si="104"/>
        <v>0</v>
      </c>
      <c r="AY128" s="68" t="s">
        <v>496</v>
      </c>
      <c r="AZ128" s="68" t="s">
        <v>480</v>
      </c>
      <c r="BA128" s="49" t="s">
        <v>220</v>
      </c>
      <c r="BC128" s="37">
        <f t="shared" si="105"/>
        <v>0</v>
      </c>
      <c r="BD128" s="37">
        <f t="shared" si="106"/>
        <v>0</v>
      </c>
      <c r="BE128" s="37">
        <v>0</v>
      </c>
      <c r="BF128" s="37">
        <f>128</f>
        <v>128</v>
      </c>
      <c r="BH128" s="37">
        <f t="shared" si="107"/>
        <v>0</v>
      </c>
      <c r="BI128" s="37">
        <f t="shared" si="108"/>
        <v>0</v>
      </c>
      <c r="BJ128" s="37">
        <f t="shared" si="109"/>
        <v>0</v>
      </c>
      <c r="BK128" s="37"/>
      <c r="BL128" s="37">
        <v>722</v>
      </c>
      <c r="BW128" s="37">
        <v>21</v>
      </c>
      <c r="BX128" s="3" t="s">
        <v>514</v>
      </c>
    </row>
    <row r="129" spans="1:76" x14ac:dyDescent="0.25">
      <c r="A129" s="1" t="s">
        <v>171</v>
      </c>
      <c r="B129" s="2" t="s">
        <v>515</v>
      </c>
      <c r="C129" s="258" t="s">
        <v>516</v>
      </c>
      <c r="D129" s="259"/>
      <c r="E129" s="2" t="s">
        <v>504</v>
      </c>
      <c r="F129" s="37">
        <v>1</v>
      </c>
      <c r="G129" s="66">
        <v>0</v>
      </c>
      <c r="H129" s="37">
        <f t="shared" si="88"/>
        <v>0</v>
      </c>
      <c r="I129" s="37">
        <f t="shared" si="89"/>
        <v>0</v>
      </c>
      <c r="J129" s="37">
        <f t="shared" si="90"/>
        <v>0</v>
      </c>
      <c r="K129" s="67" t="s">
        <v>327</v>
      </c>
      <c r="Z129" s="37">
        <f t="shared" si="91"/>
        <v>0</v>
      </c>
      <c r="AB129" s="37">
        <f t="shared" si="92"/>
        <v>0</v>
      </c>
      <c r="AC129" s="37">
        <f t="shared" si="93"/>
        <v>0</v>
      </c>
      <c r="AD129" s="37">
        <f t="shared" si="94"/>
        <v>0</v>
      </c>
      <c r="AE129" s="37">
        <f t="shared" si="95"/>
        <v>0</v>
      </c>
      <c r="AF129" s="37">
        <f t="shared" si="96"/>
        <v>0</v>
      </c>
      <c r="AG129" s="37">
        <f t="shared" si="97"/>
        <v>0</v>
      </c>
      <c r="AH129" s="37">
        <f t="shared" si="98"/>
        <v>0</v>
      </c>
      <c r="AI129" s="49" t="s">
        <v>89</v>
      </c>
      <c r="AJ129" s="37">
        <f t="shared" si="99"/>
        <v>0</v>
      </c>
      <c r="AK129" s="37">
        <f t="shared" si="100"/>
        <v>0</v>
      </c>
      <c r="AL129" s="37">
        <f t="shared" si="101"/>
        <v>0</v>
      </c>
      <c r="AN129" s="37">
        <v>21</v>
      </c>
      <c r="AO129" s="37">
        <f>G129*0.868693509</f>
        <v>0</v>
      </c>
      <c r="AP129" s="37">
        <f>G129*(1-0.868693509)</f>
        <v>0</v>
      </c>
      <c r="AQ129" s="68" t="s">
        <v>237</v>
      </c>
      <c r="AV129" s="37">
        <f t="shared" si="102"/>
        <v>0</v>
      </c>
      <c r="AW129" s="37">
        <f t="shared" si="103"/>
        <v>0</v>
      </c>
      <c r="AX129" s="37">
        <f t="shared" si="104"/>
        <v>0</v>
      </c>
      <c r="AY129" s="68" t="s">
        <v>496</v>
      </c>
      <c r="AZ129" s="68" t="s">
        <v>480</v>
      </c>
      <c r="BA129" s="49" t="s">
        <v>220</v>
      </c>
      <c r="BC129" s="37">
        <f t="shared" si="105"/>
        <v>0</v>
      </c>
      <c r="BD129" s="37">
        <f t="shared" si="106"/>
        <v>0</v>
      </c>
      <c r="BE129" s="37">
        <v>0</v>
      </c>
      <c r="BF129" s="37">
        <f>129</f>
        <v>129</v>
      </c>
      <c r="BH129" s="37">
        <f t="shared" si="107"/>
        <v>0</v>
      </c>
      <c r="BI129" s="37">
        <f t="shared" si="108"/>
        <v>0</v>
      </c>
      <c r="BJ129" s="37">
        <f t="shared" si="109"/>
        <v>0</v>
      </c>
      <c r="BK129" s="37"/>
      <c r="BL129" s="37">
        <v>722</v>
      </c>
      <c r="BW129" s="37">
        <v>21</v>
      </c>
      <c r="BX129" s="3" t="s">
        <v>516</v>
      </c>
    </row>
    <row r="130" spans="1:76" x14ac:dyDescent="0.25">
      <c r="A130" s="1" t="s">
        <v>517</v>
      </c>
      <c r="B130" s="2" t="s">
        <v>518</v>
      </c>
      <c r="C130" s="258" t="s">
        <v>519</v>
      </c>
      <c r="D130" s="259"/>
      <c r="E130" s="2" t="s">
        <v>504</v>
      </c>
      <c r="F130" s="37">
        <v>1</v>
      </c>
      <c r="G130" s="66">
        <v>0</v>
      </c>
      <c r="H130" s="37">
        <f t="shared" si="88"/>
        <v>0</v>
      </c>
      <c r="I130" s="37">
        <f t="shared" si="89"/>
        <v>0</v>
      </c>
      <c r="J130" s="37">
        <f t="shared" si="90"/>
        <v>0</v>
      </c>
      <c r="K130" s="67" t="s">
        <v>327</v>
      </c>
      <c r="Z130" s="37">
        <f t="shared" si="91"/>
        <v>0</v>
      </c>
      <c r="AB130" s="37">
        <f t="shared" si="92"/>
        <v>0</v>
      </c>
      <c r="AC130" s="37">
        <f t="shared" si="93"/>
        <v>0</v>
      </c>
      <c r="AD130" s="37">
        <f t="shared" si="94"/>
        <v>0</v>
      </c>
      <c r="AE130" s="37">
        <f t="shared" si="95"/>
        <v>0</v>
      </c>
      <c r="AF130" s="37">
        <f t="shared" si="96"/>
        <v>0</v>
      </c>
      <c r="AG130" s="37">
        <f t="shared" si="97"/>
        <v>0</v>
      </c>
      <c r="AH130" s="37">
        <f t="shared" si="98"/>
        <v>0</v>
      </c>
      <c r="AI130" s="49" t="s">
        <v>89</v>
      </c>
      <c r="AJ130" s="37">
        <f t="shared" si="99"/>
        <v>0</v>
      </c>
      <c r="AK130" s="37">
        <f t="shared" si="100"/>
        <v>0</v>
      </c>
      <c r="AL130" s="37">
        <f t="shared" si="101"/>
        <v>0</v>
      </c>
      <c r="AN130" s="37">
        <v>21</v>
      </c>
      <c r="AO130" s="37">
        <f>G130*0.879548066</f>
        <v>0</v>
      </c>
      <c r="AP130" s="37">
        <f>G130*(1-0.879548066)</f>
        <v>0</v>
      </c>
      <c r="AQ130" s="68" t="s">
        <v>237</v>
      </c>
      <c r="AV130" s="37">
        <f t="shared" si="102"/>
        <v>0</v>
      </c>
      <c r="AW130" s="37">
        <f t="shared" si="103"/>
        <v>0</v>
      </c>
      <c r="AX130" s="37">
        <f t="shared" si="104"/>
        <v>0</v>
      </c>
      <c r="AY130" s="68" t="s">
        <v>496</v>
      </c>
      <c r="AZ130" s="68" t="s">
        <v>480</v>
      </c>
      <c r="BA130" s="49" t="s">
        <v>220</v>
      </c>
      <c r="BC130" s="37">
        <f t="shared" si="105"/>
        <v>0</v>
      </c>
      <c r="BD130" s="37">
        <f t="shared" si="106"/>
        <v>0</v>
      </c>
      <c r="BE130" s="37">
        <v>0</v>
      </c>
      <c r="BF130" s="37">
        <f>130</f>
        <v>130</v>
      </c>
      <c r="BH130" s="37">
        <f t="shared" si="107"/>
        <v>0</v>
      </c>
      <c r="BI130" s="37">
        <f t="shared" si="108"/>
        <v>0</v>
      </c>
      <c r="BJ130" s="37">
        <f t="shared" si="109"/>
        <v>0</v>
      </c>
      <c r="BK130" s="37"/>
      <c r="BL130" s="37">
        <v>722</v>
      </c>
      <c r="BW130" s="37">
        <v>21</v>
      </c>
      <c r="BX130" s="3" t="s">
        <v>519</v>
      </c>
    </row>
    <row r="131" spans="1:76" x14ac:dyDescent="0.25">
      <c r="A131" s="1" t="s">
        <v>520</v>
      </c>
      <c r="B131" s="2" t="s">
        <v>521</v>
      </c>
      <c r="C131" s="258" t="s">
        <v>522</v>
      </c>
      <c r="D131" s="259"/>
      <c r="E131" s="2" t="s">
        <v>63</v>
      </c>
      <c r="F131" s="37">
        <v>1079.0769</v>
      </c>
      <c r="G131" s="66">
        <v>0</v>
      </c>
      <c r="H131" s="37">
        <f t="shared" si="88"/>
        <v>0</v>
      </c>
      <c r="I131" s="37">
        <f t="shared" si="89"/>
        <v>0</v>
      </c>
      <c r="J131" s="37">
        <f t="shared" si="90"/>
        <v>0</v>
      </c>
      <c r="K131" s="67" t="s">
        <v>217</v>
      </c>
      <c r="Z131" s="37">
        <f t="shared" si="91"/>
        <v>0</v>
      </c>
      <c r="AB131" s="37">
        <f t="shared" si="92"/>
        <v>0</v>
      </c>
      <c r="AC131" s="37">
        <f t="shared" si="93"/>
        <v>0</v>
      </c>
      <c r="AD131" s="37">
        <f t="shared" si="94"/>
        <v>0</v>
      </c>
      <c r="AE131" s="37">
        <f t="shared" si="95"/>
        <v>0</v>
      </c>
      <c r="AF131" s="37">
        <f t="shared" si="96"/>
        <v>0</v>
      </c>
      <c r="AG131" s="37">
        <f t="shared" si="97"/>
        <v>0</v>
      </c>
      <c r="AH131" s="37">
        <f t="shared" si="98"/>
        <v>0</v>
      </c>
      <c r="AI131" s="49" t="s">
        <v>89</v>
      </c>
      <c r="AJ131" s="37">
        <f t="shared" si="99"/>
        <v>0</v>
      </c>
      <c r="AK131" s="37">
        <f t="shared" si="100"/>
        <v>0</v>
      </c>
      <c r="AL131" s="37">
        <f t="shared" si="101"/>
        <v>0</v>
      </c>
      <c r="AN131" s="37">
        <v>21</v>
      </c>
      <c r="AO131" s="37">
        <f>G131*0</f>
        <v>0</v>
      </c>
      <c r="AP131" s="37">
        <f>G131*(1-0)</f>
        <v>0</v>
      </c>
      <c r="AQ131" s="68" t="s">
        <v>231</v>
      </c>
      <c r="AV131" s="37">
        <f t="shared" si="102"/>
        <v>0</v>
      </c>
      <c r="AW131" s="37">
        <f t="shared" si="103"/>
        <v>0</v>
      </c>
      <c r="AX131" s="37">
        <f t="shared" si="104"/>
        <v>0</v>
      </c>
      <c r="AY131" s="68" t="s">
        <v>496</v>
      </c>
      <c r="AZ131" s="68" t="s">
        <v>480</v>
      </c>
      <c r="BA131" s="49" t="s">
        <v>220</v>
      </c>
      <c r="BC131" s="37">
        <f t="shared" si="105"/>
        <v>0</v>
      </c>
      <c r="BD131" s="37">
        <f t="shared" si="106"/>
        <v>0</v>
      </c>
      <c r="BE131" s="37">
        <v>0</v>
      </c>
      <c r="BF131" s="37">
        <f>131</f>
        <v>131</v>
      </c>
      <c r="BH131" s="37">
        <f t="shared" si="107"/>
        <v>0</v>
      </c>
      <c r="BI131" s="37">
        <f t="shared" si="108"/>
        <v>0</v>
      </c>
      <c r="BJ131" s="37">
        <f t="shared" si="109"/>
        <v>0</v>
      </c>
      <c r="BK131" s="37"/>
      <c r="BL131" s="37">
        <v>722</v>
      </c>
      <c r="BW131" s="37">
        <v>21</v>
      </c>
      <c r="BX131" s="3" t="s">
        <v>522</v>
      </c>
    </row>
    <row r="132" spans="1:76" x14ac:dyDescent="0.25">
      <c r="A132" s="61" t="s">
        <v>4</v>
      </c>
      <c r="B132" s="62" t="s">
        <v>133</v>
      </c>
      <c r="C132" s="343" t="s">
        <v>134</v>
      </c>
      <c r="D132" s="344"/>
      <c r="E132" s="63" t="s">
        <v>81</v>
      </c>
      <c r="F132" s="63" t="s">
        <v>81</v>
      </c>
      <c r="G132" s="64" t="s">
        <v>81</v>
      </c>
      <c r="H132" s="43">
        <f>SUM(H133:H148)</f>
        <v>0</v>
      </c>
      <c r="I132" s="43">
        <f>SUM(I133:I148)</f>
        <v>0</v>
      </c>
      <c r="J132" s="43">
        <f>SUM(J133:J148)</f>
        <v>0</v>
      </c>
      <c r="K132" s="65" t="s">
        <v>4</v>
      </c>
      <c r="AI132" s="49" t="s">
        <v>89</v>
      </c>
      <c r="AS132" s="43">
        <f>SUM(AJ133:AJ148)</f>
        <v>0</v>
      </c>
      <c r="AT132" s="43">
        <f>SUM(AK133:AK148)</f>
        <v>0</v>
      </c>
      <c r="AU132" s="43">
        <f>SUM(AL133:AL148)</f>
        <v>0</v>
      </c>
    </row>
    <row r="133" spans="1:76" x14ac:dyDescent="0.25">
      <c r="A133" s="1" t="s">
        <v>523</v>
      </c>
      <c r="B133" s="2" t="s">
        <v>524</v>
      </c>
      <c r="C133" s="258" t="s">
        <v>525</v>
      </c>
      <c r="D133" s="259"/>
      <c r="E133" s="2" t="s">
        <v>504</v>
      </c>
      <c r="F133" s="37">
        <v>1</v>
      </c>
      <c r="G133" s="66">
        <v>0</v>
      </c>
      <c r="H133" s="37">
        <f t="shared" ref="H133:H148" si="110">F133*AO133</f>
        <v>0</v>
      </c>
      <c r="I133" s="37">
        <f t="shared" ref="I133:I148" si="111">F133*AP133</f>
        <v>0</v>
      </c>
      <c r="J133" s="37">
        <f t="shared" ref="J133:J148" si="112">F133*G133</f>
        <v>0</v>
      </c>
      <c r="K133" s="67" t="s">
        <v>217</v>
      </c>
      <c r="Z133" s="37">
        <f t="shared" ref="Z133:Z148" si="113">IF(AQ133="5",BJ133,0)</f>
        <v>0</v>
      </c>
      <c r="AB133" s="37">
        <f t="shared" ref="AB133:AB148" si="114">IF(AQ133="1",BH133,0)</f>
        <v>0</v>
      </c>
      <c r="AC133" s="37">
        <f t="shared" ref="AC133:AC148" si="115">IF(AQ133="1",BI133,0)</f>
        <v>0</v>
      </c>
      <c r="AD133" s="37">
        <f t="shared" ref="AD133:AD148" si="116">IF(AQ133="7",BH133,0)</f>
        <v>0</v>
      </c>
      <c r="AE133" s="37">
        <f t="shared" ref="AE133:AE148" si="117">IF(AQ133="7",BI133,0)</f>
        <v>0</v>
      </c>
      <c r="AF133" s="37">
        <f t="shared" ref="AF133:AF148" si="118">IF(AQ133="2",BH133,0)</f>
        <v>0</v>
      </c>
      <c r="AG133" s="37">
        <f t="shared" ref="AG133:AG148" si="119">IF(AQ133="2",BI133,0)</f>
        <v>0</v>
      </c>
      <c r="AH133" s="37">
        <f t="shared" ref="AH133:AH148" si="120">IF(AQ133="0",BJ133,0)</f>
        <v>0</v>
      </c>
      <c r="AI133" s="49" t="s">
        <v>89</v>
      </c>
      <c r="AJ133" s="37">
        <f t="shared" ref="AJ133:AJ148" si="121">IF(AN133=0,J133,0)</f>
        <v>0</v>
      </c>
      <c r="AK133" s="37">
        <f t="shared" ref="AK133:AK148" si="122">IF(AN133=12,J133,0)</f>
        <v>0</v>
      </c>
      <c r="AL133" s="37">
        <f t="shared" ref="AL133:AL148" si="123">IF(AN133=21,J133,0)</f>
        <v>0</v>
      </c>
      <c r="AN133" s="37">
        <v>21</v>
      </c>
      <c r="AO133" s="37">
        <f>G133*0.930661765</f>
        <v>0</v>
      </c>
      <c r="AP133" s="37">
        <f>G133*(1-0.930661765)</f>
        <v>0</v>
      </c>
      <c r="AQ133" s="68" t="s">
        <v>237</v>
      </c>
      <c r="AV133" s="37">
        <f t="shared" ref="AV133:AV148" si="124">AW133+AX133</f>
        <v>0</v>
      </c>
      <c r="AW133" s="37">
        <f t="shared" ref="AW133:AW148" si="125">F133*AO133</f>
        <v>0</v>
      </c>
      <c r="AX133" s="37">
        <f t="shared" ref="AX133:AX148" si="126">F133*AP133</f>
        <v>0</v>
      </c>
      <c r="AY133" s="68" t="s">
        <v>526</v>
      </c>
      <c r="AZ133" s="68" t="s">
        <v>480</v>
      </c>
      <c r="BA133" s="49" t="s">
        <v>220</v>
      </c>
      <c r="BC133" s="37">
        <f t="shared" ref="BC133:BC148" si="127">AW133+AX133</f>
        <v>0</v>
      </c>
      <c r="BD133" s="37">
        <f t="shared" ref="BD133:BD148" si="128">G133/(100-BE133)*100</f>
        <v>0</v>
      </c>
      <c r="BE133" s="37">
        <v>0</v>
      </c>
      <c r="BF133" s="37">
        <f>133</f>
        <v>133</v>
      </c>
      <c r="BH133" s="37">
        <f t="shared" ref="BH133:BH148" si="129">F133*AO133</f>
        <v>0</v>
      </c>
      <c r="BI133" s="37">
        <f t="shared" ref="BI133:BI148" si="130">F133*AP133</f>
        <v>0</v>
      </c>
      <c r="BJ133" s="37">
        <f t="shared" ref="BJ133:BJ148" si="131">F133*G133</f>
        <v>0</v>
      </c>
      <c r="BK133" s="37"/>
      <c r="BL133" s="37">
        <v>725</v>
      </c>
      <c r="BW133" s="37">
        <v>21</v>
      </c>
      <c r="BX133" s="3" t="s">
        <v>525</v>
      </c>
    </row>
    <row r="134" spans="1:76" x14ac:dyDescent="0.25">
      <c r="A134" s="1" t="s">
        <v>527</v>
      </c>
      <c r="B134" s="2" t="s">
        <v>528</v>
      </c>
      <c r="C134" s="258" t="s">
        <v>529</v>
      </c>
      <c r="D134" s="259"/>
      <c r="E134" s="2" t="s">
        <v>504</v>
      </c>
      <c r="F134" s="37">
        <v>1</v>
      </c>
      <c r="G134" s="66">
        <v>0</v>
      </c>
      <c r="H134" s="37">
        <f t="shared" si="110"/>
        <v>0</v>
      </c>
      <c r="I134" s="37">
        <f t="shared" si="111"/>
        <v>0</v>
      </c>
      <c r="J134" s="37">
        <f t="shared" si="112"/>
        <v>0</v>
      </c>
      <c r="K134" s="67" t="s">
        <v>327</v>
      </c>
      <c r="Z134" s="37">
        <f t="shared" si="113"/>
        <v>0</v>
      </c>
      <c r="AB134" s="37">
        <f t="shared" si="114"/>
        <v>0</v>
      </c>
      <c r="AC134" s="37">
        <f t="shared" si="115"/>
        <v>0</v>
      </c>
      <c r="AD134" s="37">
        <f t="shared" si="116"/>
        <v>0</v>
      </c>
      <c r="AE134" s="37">
        <f t="shared" si="117"/>
        <v>0</v>
      </c>
      <c r="AF134" s="37">
        <f t="shared" si="118"/>
        <v>0</v>
      </c>
      <c r="AG134" s="37">
        <f t="shared" si="119"/>
        <v>0</v>
      </c>
      <c r="AH134" s="37">
        <f t="shared" si="120"/>
        <v>0</v>
      </c>
      <c r="AI134" s="49" t="s">
        <v>89</v>
      </c>
      <c r="AJ134" s="37">
        <f t="shared" si="121"/>
        <v>0</v>
      </c>
      <c r="AK134" s="37">
        <f t="shared" si="122"/>
        <v>0</v>
      </c>
      <c r="AL134" s="37">
        <f t="shared" si="123"/>
        <v>0</v>
      </c>
      <c r="AN134" s="37">
        <v>21</v>
      </c>
      <c r="AO134" s="37">
        <f>G134*0.804459082</f>
        <v>0</v>
      </c>
      <c r="AP134" s="37">
        <f>G134*(1-0.804459082)</f>
        <v>0</v>
      </c>
      <c r="AQ134" s="68" t="s">
        <v>237</v>
      </c>
      <c r="AV134" s="37">
        <f t="shared" si="124"/>
        <v>0</v>
      </c>
      <c r="AW134" s="37">
        <f t="shared" si="125"/>
        <v>0</v>
      </c>
      <c r="AX134" s="37">
        <f t="shared" si="126"/>
        <v>0</v>
      </c>
      <c r="AY134" s="68" t="s">
        <v>526</v>
      </c>
      <c r="AZ134" s="68" t="s">
        <v>480</v>
      </c>
      <c r="BA134" s="49" t="s">
        <v>220</v>
      </c>
      <c r="BC134" s="37">
        <f t="shared" si="127"/>
        <v>0</v>
      </c>
      <c r="BD134" s="37">
        <f t="shared" si="128"/>
        <v>0</v>
      </c>
      <c r="BE134" s="37">
        <v>0</v>
      </c>
      <c r="BF134" s="37">
        <f>134</f>
        <v>134</v>
      </c>
      <c r="BH134" s="37">
        <f t="shared" si="129"/>
        <v>0</v>
      </c>
      <c r="BI134" s="37">
        <f t="shared" si="130"/>
        <v>0</v>
      </c>
      <c r="BJ134" s="37">
        <f t="shared" si="131"/>
        <v>0</v>
      </c>
      <c r="BK134" s="37"/>
      <c r="BL134" s="37">
        <v>725</v>
      </c>
      <c r="BW134" s="37">
        <v>21</v>
      </c>
      <c r="BX134" s="3" t="s">
        <v>529</v>
      </c>
    </row>
    <row r="135" spans="1:76" x14ac:dyDescent="0.25">
      <c r="A135" s="1" t="s">
        <v>530</v>
      </c>
      <c r="B135" s="2" t="s">
        <v>531</v>
      </c>
      <c r="C135" s="258" t="s">
        <v>532</v>
      </c>
      <c r="D135" s="259"/>
      <c r="E135" s="2" t="s">
        <v>309</v>
      </c>
      <c r="F135" s="37">
        <v>1</v>
      </c>
      <c r="G135" s="66">
        <v>0</v>
      </c>
      <c r="H135" s="37">
        <f t="shared" si="110"/>
        <v>0</v>
      </c>
      <c r="I135" s="37">
        <f t="shared" si="111"/>
        <v>0</v>
      </c>
      <c r="J135" s="37">
        <f t="shared" si="112"/>
        <v>0</v>
      </c>
      <c r="K135" s="67" t="s">
        <v>327</v>
      </c>
      <c r="Z135" s="37">
        <f t="shared" si="113"/>
        <v>0</v>
      </c>
      <c r="AB135" s="37">
        <f t="shared" si="114"/>
        <v>0</v>
      </c>
      <c r="AC135" s="37">
        <f t="shared" si="115"/>
        <v>0</v>
      </c>
      <c r="AD135" s="37">
        <f t="shared" si="116"/>
        <v>0</v>
      </c>
      <c r="AE135" s="37">
        <f t="shared" si="117"/>
        <v>0</v>
      </c>
      <c r="AF135" s="37">
        <f t="shared" si="118"/>
        <v>0</v>
      </c>
      <c r="AG135" s="37">
        <f t="shared" si="119"/>
        <v>0</v>
      </c>
      <c r="AH135" s="37">
        <f t="shared" si="120"/>
        <v>0</v>
      </c>
      <c r="AI135" s="49" t="s">
        <v>89</v>
      </c>
      <c r="AJ135" s="37">
        <f t="shared" si="121"/>
        <v>0</v>
      </c>
      <c r="AK135" s="37">
        <f t="shared" si="122"/>
        <v>0</v>
      </c>
      <c r="AL135" s="37">
        <f t="shared" si="123"/>
        <v>0</v>
      </c>
      <c r="AN135" s="37">
        <v>21</v>
      </c>
      <c r="AO135" s="37">
        <f>G135*0.8963074</f>
        <v>0</v>
      </c>
      <c r="AP135" s="37">
        <f>G135*(1-0.8963074)</f>
        <v>0</v>
      </c>
      <c r="AQ135" s="68" t="s">
        <v>237</v>
      </c>
      <c r="AV135" s="37">
        <f t="shared" si="124"/>
        <v>0</v>
      </c>
      <c r="AW135" s="37">
        <f t="shared" si="125"/>
        <v>0</v>
      </c>
      <c r="AX135" s="37">
        <f t="shared" si="126"/>
        <v>0</v>
      </c>
      <c r="AY135" s="68" t="s">
        <v>526</v>
      </c>
      <c r="AZ135" s="68" t="s">
        <v>480</v>
      </c>
      <c r="BA135" s="49" t="s">
        <v>220</v>
      </c>
      <c r="BC135" s="37">
        <f t="shared" si="127"/>
        <v>0</v>
      </c>
      <c r="BD135" s="37">
        <f t="shared" si="128"/>
        <v>0</v>
      </c>
      <c r="BE135" s="37">
        <v>0</v>
      </c>
      <c r="BF135" s="37">
        <f>135</f>
        <v>135</v>
      </c>
      <c r="BH135" s="37">
        <f t="shared" si="129"/>
        <v>0</v>
      </c>
      <c r="BI135" s="37">
        <f t="shared" si="130"/>
        <v>0</v>
      </c>
      <c r="BJ135" s="37">
        <f t="shared" si="131"/>
        <v>0</v>
      </c>
      <c r="BK135" s="37"/>
      <c r="BL135" s="37">
        <v>725</v>
      </c>
      <c r="BW135" s="37">
        <v>21</v>
      </c>
      <c r="BX135" s="3" t="s">
        <v>532</v>
      </c>
    </row>
    <row r="136" spans="1:76" x14ac:dyDescent="0.25">
      <c r="A136" s="1" t="s">
        <v>533</v>
      </c>
      <c r="B136" s="2" t="s">
        <v>534</v>
      </c>
      <c r="C136" s="258" t="s">
        <v>535</v>
      </c>
      <c r="D136" s="259"/>
      <c r="E136" s="2" t="s">
        <v>504</v>
      </c>
      <c r="F136" s="37">
        <v>1</v>
      </c>
      <c r="G136" s="66">
        <v>0</v>
      </c>
      <c r="H136" s="37">
        <f t="shared" si="110"/>
        <v>0</v>
      </c>
      <c r="I136" s="37">
        <f t="shared" si="111"/>
        <v>0</v>
      </c>
      <c r="J136" s="37">
        <f t="shared" si="112"/>
        <v>0</v>
      </c>
      <c r="K136" s="67" t="s">
        <v>327</v>
      </c>
      <c r="Z136" s="37">
        <f t="shared" si="113"/>
        <v>0</v>
      </c>
      <c r="AB136" s="37">
        <f t="shared" si="114"/>
        <v>0</v>
      </c>
      <c r="AC136" s="37">
        <f t="shared" si="115"/>
        <v>0</v>
      </c>
      <c r="AD136" s="37">
        <f t="shared" si="116"/>
        <v>0</v>
      </c>
      <c r="AE136" s="37">
        <f t="shared" si="117"/>
        <v>0</v>
      </c>
      <c r="AF136" s="37">
        <f t="shared" si="118"/>
        <v>0</v>
      </c>
      <c r="AG136" s="37">
        <f t="shared" si="119"/>
        <v>0</v>
      </c>
      <c r="AH136" s="37">
        <f t="shared" si="120"/>
        <v>0</v>
      </c>
      <c r="AI136" s="49" t="s">
        <v>89</v>
      </c>
      <c r="AJ136" s="37">
        <f t="shared" si="121"/>
        <v>0</v>
      </c>
      <c r="AK136" s="37">
        <f t="shared" si="122"/>
        <v>0</v>
      </c>
      <c r="AL136" s="37">
        <f t="shared" si="123"/>
        <v>0</v>
      </c>
      <c r="AN136" s="37">
        <v>21</v>
      </c>
      <c r="AO136" s="37">
        <f>G136*0.837343941</f>
        <v>0</v>
      </c>
      <c r="AP136" s="37">
        <f>G136*(1-0.837343941)</f>
        <v>0</v>
      </c>
      <c r="AQ136" s="68" t="s">
        <v>237</v>
      </c>
      <c r="AV136" s="37">
        <f t="shared" si="124"/>
        <v>0</v>
      </c>
      <c r="AW136" s="37">
        <f t="shared" si="125"/>
        <v>0</v>
      </c>
      <c r="AX136" s="37">
        <f t="shared" si="126"/>
        <v>0</v>
      </c>
      <c r="AY136" s="68" t="s">
        <v>526</v>
      </c>
      <c r="AZ136" s="68" t="s">
        <v>480</v>
      </c>
      <c r="BA136" s="49" t="s">
        <v>220</v>
      </c>
      <c r="BC136" s="37">
        <f t="shared" si="127"/>
        <v>0</v>
      </c>
      <c r="BD136" s="37">
        <f t="shared" si="128"/>
        <v>0</v>
      </c>
      <c r="BE136" s="37">
        <v>0</v>
      </c>
      <c r="BF136" s="37">
        <f>136</f>
        <v>136</v>
      </c>
      <c r="BH136" s="37">
        <f t="shared" si="129"/>
        <v>0</v>
      </c>
      <c r="BI136" s="37">
        <f t="shared" si="130"/>
        <v>0</v>
      </c>
      <c r="BJ136" s="37">
        <f t="shared" si="131"/>
        <v>0</v>
      </c>
      <c r="BK136" s="37"/>
      <c r="BL136" s="37">
        <v>725</v>
      </c>
      <c r="BW136" s="37">
        <v>21</v>
      </c>
      <c r="BX136" s="3" t="s">
        <v>535</v>
      </c>
    </row>
    <row r="137" spans="1:76" x14ac:dyDescent="0.25">
      <c r="A137" s="1" t="s">
        <v>536</v>
      </c>
      <c r="B137" s="2" t="s">
        <v>537</v>
      </c>
      <c r="C137" s="258" t="s">
        <v>538</v>
      </c>
      <c r="D137" s="259"/>
      <c r="E137" s="2" t="s">
        <v>309</v>
      </c>
      <c r="F137" s="37">
        <v>1</v>
      </c>
      <c r="G137" s="66">
        <v>0</v>
      </c>
      <c r="H137" s="37">
        <f t="shared" si="110"/>
        <v>0</v>
      </c>
      <c r="I137" s="37">
        <f t="shared" si="111"/>
        <v>0</v>
      </c>
      <c r="J137" s="37">
        <f t="shared" si="112"/>
        <v>0</v>
      </c>
      <c r="K137" s="67" t="s">
        <v>357</v>
      </c>
      <c r="Z137" s="37">
        <f t="shared" si="113"/>
        <v>0</v>
      </c>
      <c r="AB137" s="37">
        <f t="shared" si="114"/>
        <v>0</v>
      </c>
      <c r="AC137" s="37">
        <f t="shared" si="115"/>
        <v>0</v>
      </c>
      <c r="AD137" s="37">
        <f t="shared" si="116"/>
        <v>0</v>
      </c>
      <c r="AE137" s="37">
        <f t="shared" si="117"/>
        <v>0</v>
      </c>
      <c r="AF137" s="37">
        <f t="shared" si="118"/>
        <v>0</v>
      </c>
      <c r="AG137" s="37">
        <f t="shared" si="119"/>
        <v>0</v>
      </c>
      <c r="AH137" s="37">
        <f t="shared" si="120"/>
        <v>0</v>
      </c>
      <c r="AI137" s="49" t="s">
        <v>89</v>
      </c>
      <c r="AJ137" s="37">
        <f t="shared" si="121"/>
        <v>0</v>
      </c>
      <c r="AK137" s="37">
        <f t="shared" si="122"/>
        <v>0</v>
      </c>
      <c r="AL137" s="37">
        <f t="shared" si="123"/>
        <v>0</v>
      </c>
      <c r="AN137" s="37">
        <v>21</v>
      </c>
      <c r="AO137" s="37">
        <f>G137*0.882813278</f>
        <v>0</v>
      </c>
      <c r="AP137" s="37">
        <f>G137*(1-0.882813278)</f>
        <v>0</v>
      </c>
      <c r="AQ137" s="68" t="s">
        <v>237</v>
      </c>
      <c r="AV137" s="37">
        <f t="shared" si="124"/>
        <v>0</v>
      </c>
      <c r="AW137" s="37">
        <f t="shared" si="125"/>
        <v>0</v>
      </c>
      <c r="AX137" s="37">
        <f t="shared" si="126"/>
        <v>0</v>
      </c>
      <c r="AY137" s="68" t="s">
        <v>526</v>
      </c>
      <c r="AZ137" s="68" t="s">
        <v>480</v>
      </c>
      <c r="BA137" s="49" t="s">
        <v>220</v>
      </c>
      <c r="BC137" s="37">
        <f t="shared" si="127"/>
        <v>0</v>
      </c>
      <c r="BD137" s="37">
        <f t="shared" si="128"/>
        <v>0</v>
      </c>
      <c r="BE137" s="37">
        <v>0</v>
      </c>
      <c r="BF137" s="37">
        <f>137</f>
        <v>137</v>
      </c>
      <c r="BH137" s="37">
        <f t="shared" si="129"/>
        <v>0</v>
      </c>
      <c r="BI137" s="37">
        <f t="shared" si="130"/>
        <v>0</v>
      </c>
      <c r="BJ137" s="37">
        <f t="shared" si="131"/>
        <v>0</v>
      </c>
      <c r="BK137" s="37"/>
      <c r="BL137" s="37">
        <v>725</v>
      </c>
      <c r="BW137" s="37">
        <v>21</v>
      </c>
      <c r="BX137" s="3" t="s">
        <v>538</v>
      </c>
    </row>
    <row r="138" spans="1:76" x14ac:dyDescent="0.25">
      <c r="A138" s="1" t="s">
        <v>539</v>
      </c>
      <c r="B138" s="2" t="s">
        <v>540</v>
      </c>
      <c r="C138" s="258" t="s">
        <v>541</v>
      </c>
      <c r="D138" s="259"/>
      <c r="E138" s="2" t="s">
        <v>504</v>
      </c>
      <c r="F138" s="37">
        <v>1</v>
      </c>
      <c r="G138" s="66">
        <v>0</v>
      </c>
      <c r="H138" s="37">
        <f t="shared" si="110"/>
        <v>0</v>
      </c>
      <c r="I138" s="37">
        <f t="shared" si="111"/>
        <v>0</v>
      </c>
      <c r="J138" s="37">
        <f t="shared" si="112"/>
        <v>0</v>
      </c>
      <c r="K138" s="67" t="s">
        <v>217</v>
      </c>
      <c r="Z138" s="37">
        <f t="shared" si="113"/>
        <v>0</v>
      </c>
      <c r="AB138" s="37">
        <f t="shared" si="114"/>
        <v>0</v>
      </c>
      <c r="AC138" s="37">
        <f t="shared" si="115"/>
        <v>0</v>
      </c>
      <c r="AD138" s="37">
        <f t="shared" si="116"/>
        <v>0</v>
      </c>
      <c r="AE138" s="37">
        <f t="shared" si="117"/>
        <v>0</v>
      </c>
      <c r="AF138" s="37">
        <f t="shared" si="118"/>
        <v>0</v>
      </c>
      <c r="AG138" s="37">
        <f t="shared" si="119"/>
        <v>0</v>
      </c>
      <c r="AH138" s="37">
        <f t="shared" si="120"/>
        <v>0</v>
      </c>
      <c r="AI138" s="49" t="s">
        <v>89</v>
      </c>
      <c r="AJ138" s="37">
        <f t="shared" si="121"/>
        <v>0</v>
      </c>
      <c r="AK138" s="37">
        <f t="shared" si="122"/>
        <v>0</v>
      </c>
      <c r="AL138" s="37">
        <f t="shared" si="123"/>
        <v>0</v>
      </c>
      <c r="AN138" s="37">
        <v>21</v>
      </c>
      <c r="AO138" s="37">
        <f>G138*0.071747981</f>
        <v>0</v>
      </c>
      <c r="AP138" s="37">
        <f>G138*(1-0.071747981)</f>
        <v>0</v>
      </c>
      <c r="AQ138" s="68" t="s">
        <v>237</v>
      </c>
      <c r="AV138" s="37">
        <f t="shared" si="124"/>
        <v>0</v>
      </c>
      <c r="AW138" s="37">
        <f t="shared" si="125"/>
        <v>0</v>
      </c>
      <c r="AX138" s="37">
        <f t="shared" si="126"/>
        <v>0</v>
      </c>
      <c r="AY138" s="68" t="s">
        <v>526</v>
      </c>
      <c r="AZ138" s="68" t="s">
        <v>480</v>
      </c>
      <c r="BA138" s="49" t="s">
        <v>220</v>
      </c>
      <c r="BC138" s="37">
        <f t="shared" si="127"/>
        <v>0</v>
      </c>
      <c r="BD138" s="37">
        <f t="shared" si="128"/>
        <v>0</v>
      </c>
      <c r="BE138" s="37">
        <v>0</v>
      </c>
      <c r="BF138" s="37">
        <f>138</f>
        <v>138</v>
      </c>
      <c r="BH138" s="37">
        <f t="shared" si="129"/>
        <v>0</v>
      </c>
      <c r="BI138" s="37">
        <f t="shared" si="130"/>
        <v>0</v>
      </c>
      <c r="BJ138" s="37">
        <f t="shared" si="131"/>
        <v>0</v>
      </c>
      <c r="BK138" s="37"/>
      <c r="BL138" s="37">
        <v>725</v>
      </c>
      <c r="BW138" s="37">
        <v>21</v>
      </c>
      <c r="BX138" s="3" t="s">
        <v>541</v>
      </c>
    </row>
    <row r="139" spans="1:76" ht="25.5" x14ac:dyDescent="0.25">
      <c r="A139" s="1" t="s">
        <v>542</v>
      </c>
      <c r="B139" s="2" t="s">
        <v>543</v>
      </c>
      <c r="C139" s="258" t="s">
        <v>544</v>
      </c>
      <c r="D139" s="259"/>
      <c r="E139" s="2" t="s">
        <v>309</v>
      </c>
      <c r="F139" s="37">
        <v>1</v>
      </c>
      <c r="G139" s="66">
        <v>0</v>
      </c>
      <c r="H139" s="37">
        <f t="shared" si="110"/>
        <v>0</v>
      </c>
      <c r="I139" s="37">
        <f t="shared" si="111"/>
        <v>0</v>
      </c>
      <c r="J139" s="37">
        <f t="shared" si="112"/>
        <v>0</v>
      </c>
      <c r="K139" s="67" t="s">
        <v>327</v>
      </c>
      <c r="Z139" s="37">
        <f t="shared" si="113"/>
        <v>0</v>
      </c>
      <c r="AB139" s="37">
        <f t="shared" si="114"/>
        <v>0</v>
      </c>
      <c r="AC139" s="37">
        <f t="shared" si="115"/>
        <v>0</v>
      </c>
      <c r="AD139" s="37">
        <f t="shared" si="116"/>
        <v>0</v>
      </c>
      <c r="AE139" s="37">
        <f t="shared" si="117"/>
        <v>0</v>
      </c>
      <c r="AF139" s="37">
        <f t="shared" si="118"/>
        <v>0</v>
      </c>
      <c r="AG139" s="37">
        <f t="shared" si="119"/>
        <v>0</v>
      </c>
      <c r="AH139" s="37">
        <f t="shared" si="120"/>
        <v>0</v>
      </c>
      <c r="AI139" s="49" t="s">
        <v>89</v>
      </c>
      <c r="AJ139" s="37">
        <f t="shared" si="121"/>
        <v>0</v>
      </c>
      <c r="AK139" s="37">
        <f t="shared" si="122"/>
        <v>0</v>
      </c>
      <c r="AL139" s="37">
        <f t="shared" si="123"/>
        <v>0</v>
      </c>
      <c r="AN139" s="37">
        <v>21</v>
      </c>
      <c r="AO139" s="37">
        <f>G139*1</f>
        <v>0</v>
      </c>
      <c r="AP139" s="37">
        <f>G139*(1-1)</f>
        <v>0</v>
      </c>
      <c r="AQ139" s="68" t="s">
        <v>237</v>
      </c>
      <c r="AV139" s="37">
        <f t="shared" si="124"/>
        <v>0</v>
      </c>
      <c r="AW139" s="37">
        <f t="shared" si="125"/>
        <v>0</v>
      </c>
      <c r="AX139" s="37">
        <f t="shared" si="126"/>
        <v>0</v>
      </c>
      <c r="AY139" s="68" t="s">
        <v>526</v>
      </c>
      <c r="AZ139" s="68" t="s">
        <v>480</v>
      </c>
      <c r="BA139" s="49" t="s">
        <v>220</v>
      </c>
      <c r="BC139" s="37">
        <f t="shared" si="127"/>
        <v>0</v>
      </c>
      <c r="BD139" s="37">
        <f t="shared" si="128"/>
        <v>0</v>
      </c>
      <c r="BE139" s="37">
        <v>0</v>
      </c>
      <c r="BF139" s="37">
        <f>139</f>
        <v>139</v>
      </c>
      <c r="BH139" s="37">
        <f t="shared" si="129"/>
        <v>0</v>
      </c>
      <c r="BI139" s="37">
        <f t="shared" si="130"/>
        <v>0</v>
      </c>
      <c r="BJ139" s="37">
        <f t="shared" si="131"/>
        <v>0</v>
      </c>
      <c r="BK139" s="37"/>
      <c r="BL139" s="37">
        <v>725</v>
      </c>
      <c r="BW139" s="37">
        <v>21</v>
      </c>
      <c r="BX139" s="3" t="s">
        <v>544</v>
      </c>
    </row>
    <row r="140" spans="1:76" x14ac:dyDescent="0.25">
      <c r="A140" s="1" t="s">
        <v>545</v>
      </c>
      <c r="B140" s="2" t="s">
        <v>546</v>
      </c>
      <c r="C140" s="258" t="s">
        <v>547</v>
      </c>
      <c r="D140" s="259"/>
      <c r="E140" s="2" t="s">
        <v>504</v>
      </c>
      <c r="F140" s="37">
        <v>1</v>
      </c>
      <c r="G140" s="66">
        <v>0</v>
      </c>
      <c r="H140" s="37">
        <f t="shared" si="110"/>
        <v>0</v>
      </c>
      <c r="I140" s="37">
        <f t="shared" si="111"/>
        <v>0</v>
      </c>
      <c r="J140" s="37">
        <f t="shared" si="112"/>
        <v>0</v>
      </c>
      <c r="K140" s="67" t="s">
        <v>217</v>
      </c>
      <c r="Z140" s="37">
        <f t="shared" si="113"/>
        <v>0</v>
      </c>
      <c r="AB140" s="37">
        <f t="shared" si="114"/>
        <v>0</v>
      </c>
      <c r="AC140" s="37">
        <f t="shared" si="115"/>
        <v>0</v>
      </c>
      <c r="AD140" s="37">
        <f t="shared" si="116"/>
        <v>0</v>
      </c>
      <c r="AE140" s="37">
        <f t="shared" si="117"/>
        <v>0</v>
      </c>
      <c r="AF140" s="37">
        <f t="shared" si="118"/>
        <v>0</v>
      </c>
      <c r="AG140" s="37">
        <f t="shared" si="119"/>
        <v>0</v>
      </c>
      <c r="AH140" s="37">
        <f t="shared" si="120"/>
        <v>0</v>
      </c>
      <c r="AI140" s="49" t="s">
        <v>89</v>
      </c>
      <c r="AJ140" s="37">
        <f t="shared" si="121"/>
        <v>0</v>
      </c>
      <c r="AK140" s="37">
        <f t="shared" si="122"/>
        <v>0</v>
      </c>
      <c r="AL140" s="37">
        <f t="shared" si="123"/>
        <v>0</v>
      </c>
      <c r="AN140" s="37">
        <v>21</v>
      </c>
      <c r="AO140" s="37">
        <f>G140*0.231760176</f>
        <v>0</v>
      </c>
      <c r="AP140" s="37">
        <f>G140*(1-0.231760176)</f>
        <v>0</v>
      </c>
      <c r="AQ140" s="68" t="s">
        <v>237</v>
      </c>
      <c r="AV140" s="37">
        <f t="shared" si="124"/>
        <v>0</v>
      </c>
      <c r="AW140" s="37">
        <f t="shared" si="125"/>
        <v>0</v>
      </c>
      <c r="AX140" s="37">
        <f t="shared" si="126"/>
        <v>0</v>
      </c>
      <c r="AY140" s="68" t="s">
        <v>526</v>
      </c>
      <c r="AZ140" s="68" t="s">
        <v>480</v>
      </c>
      <c r="BA140" s="49" t="s">
        <v>220</v>
      </c>
      <c r="BC140" s="37">
        <f t="shared" si="127"/>
        <v>0</v>
      </c>
      <c r="BD140" s="37">
        <f t="shared" si="128"/>
        <v>0</v>
      </c>
      <c r="BE140" s="37">
        <v>0</v>
      </c>
      <c r="BF140" s="37">
        <f>140</f>
        <v>140</v>
      </c>
      <c r="BH140" s="37">
        <f t="shared" si="129"/>
        <v>0</v>
      </c>
      <c r="BI140" s="37">
        <f t="shared" si="130"/>
        <v>0</v>
      </c>
      <c r="BJ140" s="37">
        <f t="shared" si="131"/>
        <v>0</v>
      </c>
      <c r="BK140" s="37"/>
      <c r="BL140" s="37">
        <v>725</v>
      </c>
      <c r="BW140" s="37">
        <v>21</v>
      </c>
      <c r="BX140" s="3" t="s">
        <v>547</v>
      </c>
    </row>
    <row r="141" spans="1:76" x14ac:dyDescent="0.25">
      <c r="A141" s="1" t="s">
        <v>548</v>
      </c>
      <c r="B141" s="2" t="s">
        <v>549</v>
      </c>
      <c r="C141" s="258" t="s">
        <v>550</v>
      </c>
      <c r="D141" s="259"/>
      <c r="E141" s="2" t="s">
        <v>309</v>
      </c>
      <c r="F141" s="37">
        <v>1</v>
      </c>
      <c r="G141" s="66">
        <v>0</v>
      </c>
      <c r="H141" s="37">
        <f t="shared" si="110"/>
        <v>0</v>
      </c>
      <c r="I141" s="37">
        <f t="shared" si="111"/>
        <v>0</v>
      </c>
      <c r="J141" s="37">
        <f t="shared" si="112"/>
        <v>0</v>
      </c>
      <c r="K141" s="67" t="s">
        <v>217</v>
      </c>
      <c r="Z141" s="37">
        <f t="shared" si="113"/>
        <v>0</v>
      </c>
      <c r="AB141" s="37">
        <f t="shared" si="114"/>
        <v>0</v>
      </c>
      <c r="AC141" s="37">
        <f t="shared" si="115"/>
        <v>0</v>
      </c>
      <c r="AD141" s="37">
        <f t="shared" si="116"/>
        <v>0</v>
      </c>
      <c r="AE141" s="37">
        <f t="shared" si="117"/>
        <v>0</v>
      </c>
      <c r="AF141" s="37">
        <f t="shared" si="118"/>
        <v>0</v>
      </c>
      <c r="AG141" s="37">
        <f t="shared" si="119"/>
        <v>0</v>
      </c>
      <c r="AH141" s="37">
        <f t="shared" si="120"/>
        <v>0</v>
      </c>
      <c r="AI141" s="49" t="s">
        <v>89</v>
      </c>
      <c r="AJ141" s="37">
        <f t="shared" si="121"/>
        <v>0</v>
      </c>
      <c r="AK141" s="37">
        <f t="shared" si="122"/>
        <v>0</v>
      </c>
      <c r="AL141" s="37">
        <f t="shared" si="123"/>
        <v>0</v>
      </c>
      <c r="AN141" s="37">
        <v>21</v>
      </c>
      <c r="AO141" s="37">
        <f>G141*1</f>
        <v>0</v>
      </c>
      <c r="AP141" s="37">
        <f>G141*(1-1)</f>
        <v>0</v>
      </c>
      <c r="AQ141" s="68" t="s">
        <v>237</v>
      </c>
      <c r="AV141" s="37">
        <f t="shared" si="124"/>
        <v>0</v>
      </c>
      <c r="AW141" s="37">
        <f t="shared" si="125"/>
        <v>0</v>
      </c>
      <c r="AX141" s="37">
        <f t="shared" si="126"/>
        <v>0</v>
      </c>
      <c r="AY141" s="68" t="s">
        <v>526</v>
      </c>
      <c r="AZ141" s="68" t="s">
        <v>480</v>
      </c>
      <c r="BA141" s="49" t="s">
        <v>220</v>
      </c>
      <c r="BC141" s="37">
        <f t="shared" si="127"/>
        <v>0</v>
      </c>
      <c r="BD141" s="37">
        <f t="shared" si="128"/>
        <v>0</v>
      </c>
      <c r="BE141" s="37">
        <v>0</v>
      </c>
      <c r="BF141" s="37">
        <f>141</f>
        <v>141</v>
      </c>
      <c r="BH141" s="37">
        <f t="shared" si="129"/>
        <v>0</v>
      </c>
      <c r="BI141" s="37">
        <f t="shared" si="130"/>
        <v>0</v>
      </c>
      <c r="BJ141" s="37">
        <f t="shared" si="131"/>
        <v>0</v>
      </c>
      <c r="BK141" s="37"/>
      <c r="BL141" s="37">
        <v>725</v>
      </c>
      <c r="BW141" s="37">
        <v>21</v>
      </c>
      <c r="BX141" s="3" t="s">
        <v>550</v>
      </c>
    </row>
    <row r="142" spans="1:76" x14ac:dyDescent="0.25">
      <c r="A142" s="1" t="s">
        <v>551</v>
      </c>
      <c r="B142" s="2" t="s">
        <v>552</v>
      </c>
      <c r="C142" s="258" t="s">
        <v>553</v>
      </c>
      <c r="D142" s="259"/>
      <c r="E142" s="2" t="s">
        <v>504</v>
      </c>
      <c r="F142" s="37">
        <v>1</v>
      </c>
      <c r="G142" s="66">
        <v>0</v>
      </c>
      <c r="H142" s="37">
        <f t="shared" si="110"/>
        <v>0</v>
      </c>
      <c r="I142" s="37">
        <f t="shared" si="111"/>
        <v>0</v>
      </c>
      <c r="J142" s="37">
        <f t="shared" si="112"/>
        <v>0</v>
      </c>
      <c r="K142" s="67" t="s">
        <v>217</v>
      </c>
      <c r="Z142" s="37">
        <f t="shared" si="113"/>
        <v>0</v>
      </c>
      <c r="AB142" s="37">
        <f t="shared" si="114"/>
        <v>0</v>
      </c>
      <c r="AC142" s="37">
        <f t="shared" si="115"/>
        <v>0</v>
      </c>
      <c r="AD142" s="37">
        <f t="shared" si="116"/>
        <v>0</v>
      </c>
      <c r="AE142" s="37">
        <f t="shared" si="117"/>
        <v>0</v>
      </c>
      <c r="AF142" s="37">
        <f t="shared" si="118"/>
        <v>0</v>
      </c>
      <c r="AG142" s="37">
        <f t="shared" si="119"/>
        <v>0</v>
      </c>
      <c r="AH142" s="37">
        <f t="shared" si="120"/>
        <v>0</v>
      </c>
      <c r="AI142" s="49" t="s">
        <v>89</v>
      </c>
      <c r="AJ142" s="37">
        <f t="shared" si="121"/>
        <v>0</v>
      </c>
      <c r="AK142" s="37">
        <f t="shared" si="122"/>
        <v>0</v>
      </c>
      <c r="AL142" s="37">
        <f t="shared" si="123"/>
        <v>0</v>
      </c>
      <c r="AN142" s="37">
        <v>21</v>
      </c>
      <c r="AO142" s="37">
        <f>G142*0.747422699</f>
        <v>0</v>
      </c>
      <c r="AP142" s="37">
        <f>G142*(1-0.747422699)</f>
        <v>0</v>
      </c>
      <c r="AQ142" s="68" t="s">
        <v>237</v>
      </c>
      <c r="AV142" s="37">
        <f t="shared" si="124"/>
        <v>0</v>
      </c>
      <c r="AW142" s="37">
        <f t="shared" si="125"/>
        <v>0</v>
      </c>
      <c r="AX142" s="37">
        <f t="shared" si="126"/>
        <v>0</v>
      </c>
      <c r="AY142" s="68" t="s">
        <v>526</v>
      </c>
      <c r="AZ142" s="68" t="s">
        <v>480</v>
      </c>
      <c r="BA142" s="49" t="s">
        <v>220</v>
      </c>
      <c r="BC142" s="37">
        <f t="shared" si="127"/>
        <v>0</v>
      </c>
      <c r="BD142" s="37">
        <f t="shared" si="128"/>
        <v>0</v>
      </c>
      <c r="BE142" s="37">
        <v>0</v>
      </c>
      <c r="BF142" s="37">
        <f>142</f>
        <v>142</v>
      </c>
      <c r="BH142" s="37">
        <f t="shared" si="129"/>
        <v>0</v>
      </c>
      <c r="BI142" s="37">
        <f t="shared" si="130"/>
        <v>0</v>
      </c>
      <c r="BJ142" s="37">
        <f t="shared" si="131"/>
        <v>0</v>
      </c>
      <c r="BK142" s="37"/>
      <c r="BL142" s="37">
        <v>725</v>
      </c>
      <c r="BW142" s="37">
        <v>21</v>
      </c>
      <c r="BX142" s="3" t="s">
        <v>553</v>
      </c>
    </row>
    <row r="143" spans="1:76" x14ac:dyDescent="0.25">
      <c r="A143" s="1" t="s">
        <v>554</v>
      </c>
      <c r="B143" s="2" t="s">
        <v>555</v>
      </c>
      <c r="C143" s="258" t="s">
        <v>556</v>
      </c>
      <c r="D143" s="259"/>
      <c r="E143" s="2" t="s">
        <v>309</v>
      </c>
      <c r="F143" s="37">
        <v>1</v>
      </c>
      <c r="G143" s="66">
        <v>0</v>
      </c>
      <c r="H143" s="37">
        <f t="shared" si="110"/>
        <v>0</v>
      </c>
      <c r="I143" s="37">
        <f t="shared" si="111"/>
        <v>0</v>
      </c>
      <c r="J143" s="37">
        <f t="shared" si="112"/>
        <v>0</v>
      </c>
      <c r="K143" s="67" t="s">
        <v>217</v>
      </c>
      <c r="Z143" s="37">
        <f t="shared" si="113"/>
        <v>0</v>
      </c>
      <c r="AB143" s="37">
        <f t="shared" si="114"/>
        <v>0</v>
      </c>
      <c r="AC143" s="37">
        <f t="shared" si="115"/>
        <v>0</v>
      </c>
      <c r="AD143" s="37">
        <f t="shared" si="116"/>
        <v>0</v>
      </c>
      <c r="AE143" s="37">
        <f t="shared" si="117"/>
        <v>0</v>
      </c>
      <c r="AF143" s="37">
        <f t="shared" si="118"/>
        <v>0</v>
      </c>
      <c r="AG143" s="37">
        <f t="shared" si="119"/>
        <v>0</v>
      </c>
      <c r="AH143" s="37">
        <f t="shared" si="120"/>
        <v>0</v>
      </c>
      <c r="AI143" s="49" t="s">
        <v>89</v>
      </c>
      <c r="AJ143" s="37">
        <f t="shared" si="121"/>
        <v>0</v>
      </c>
      <c r="AK143" s="37">
        <f t="shared" si="122"/>
        <v>0</v>
      </c>
      <c r="AL143" s="37">
        <f t="shared" si="123"/>
        <v>0</v>
      </c>
      <c r="AN143" s="37">
        <v>21</v>
      </c>
      <c r="AO143" s="37">
        <f>G143*0.723117647</f>
        <v>0</v>
      </c>
      <c r="AP143" s="37">
        <f>G143*(1-0.723117647)</f>
        <v>0</v>
      </c>
      <c r="AQ143" s="68" t="s">
        <v>237</v>
      </c>
      <c r="AV143" s="37">
        <f t="shared" si="124"/>
        <v>0</v>
      </c>
      <c r="AW143" s="37">
        <f t="shared" si="125"/>
        <v>0</v>
      </c>
      <c r="AX143" s="37">
        <f t="shared" si="126"/>
        <v>0</v>
      </c>
      <c r="AY143" s="68" t="s">
        <v>526</v>
      </c>
      <c r="AZ143" s="68" t="s">
        <v>480</v>
      </c>
      <c r="BA143" s="49" t="s">
        <v>220</v>
      </c>
      <c r="BC143" s="37">
        <f t="shared" si="127"/>
        <v>0</v>
      </c>
      <c r="BD143" s="37">
        <f t="shared" si="128"/>
        <v>0</v>
      </c>
      <c r="BE143" s="37">
        <v>0</v>
      </c>
      <c r="BF143" s="37">
        <f>143</f>
        <v>143</v>
      </c>
      <c r="BH143" s="37">
        <f t="shared" si="129"/>
        <v>0</v>
      </c>
      <c r="BI143" s="37">
        <f t="shared" si="130"/>
        <v>0</v>
      </c>
      <c r="BJ143" s="37">
        <f t="shared" si="131"/>
        <v>0</v>
      </c>
      <c r="BK143" s="37"/>
      <c r="BL143" s="37">
        <v>725</v>
      </c>
      <c r="BW143" s="37">
        <v>21</v>
      </c>
      <c r="BX143" s="3" t="s">
        <v>556</v>
      </c>
    </row>
    <row r="144" spans="1:76" x14ac:dyDescent="0.25">
      <c r="A144" s="1" t="s">
        <v>557</v>
      </c>
      <c r="B144" s="2" t="s">
        <v>558</v>
      </c>
      <c r="C144" s="258" t="s">
        <v>559</v>
      </c>
      <c r="D144" s="259"/>
      <c r="E144" s="2" t="s">
        <v>504</v>
      </c>
      <c r="F144" s="37">
        <v>1</v>
      </c>
      <c r="G144" s="66">
        <v>0</v>
      </c>
      <c r="H144" s="37">
        <f t="shared" si="110"/>
        <v>0</v>
      </c>
      <c r="I144" s="37">
        <f t="shared" si="111"/>
        <v>0</v>
      </c>
      <c r="J144" s="37">
        <f t="shared" si="112"/>
        <v>0</v>
      </c>
      <c r="K144" s="67" t="s">
        <v>217</v>
      </c>
      <c r="Z144" s="37">
        <f t="shared" si="113"/>
        <v>0</v>
      </c>
      <c r="AB144" s="37">
        <f t="shared" si="114"/>
        <v>0</v>
      </c>
      <c r="AC144" s="37">
        <f t="shared" si="115"/>
        <v>0</v>
      </c>
      <c r="AD144" s="37">
        <f t="shared" si="116"/>
        <v>0</v>
      </c>
      <c r="AE144" s="37">
        <f t="shared" si="117"/>
        <v>0</v>
      </c>
      <c r="AF144" s="37">
        <f t="shared" si="118"/>
        <v>0</v>
      </c>
      <c r="AG144" s="37">
        <f t="shared" si="119"/>
        <v>0</v>
      </c>
      <c r="AH144" s="37">
        <f t="shared" si="120"/>
        <v>0</v>
      </c>
      <c r="AI144" s="49" t="s">
        <v>89</v>
      </c>
      <c r="AJ144" s="37">
        <f t="shared" si="121"/>
        <v>0</v>
      </c>
      <c r="AK144" s="37">
        <f t="shared" si="122"/>
        <v>0</v>
      </c>
      <c r="AL144" s="37">
        <f t="shared" si="123"/>
        <v>0</v>
      </c>
      <c r="AN144" s="37">
        <v>21</v>
      </c>
      <c r="AO144" s="37">
        <f>G144*0.87709688</f>
        <v>0</v>
      </c>
      <c r="AP144" s="37">
        <f>G144*(1-0.87709688)</f>
        <v>0</v>
      </c>
      <c r="AQ144" s="68" t="s">
        <v>237</v>
      </c>
      <c r="AV144" s="37">
        <f t="shared" si="124"/>
        <v>0</v>
      </c>
      <c r="AW144" s="37">
        <f t="shared" si="125"/>
        <v>0</v>
      </c>
      <c r="AX144" s="37">
        <f t="shared" si="126"/>
        <v>0</v>
      </c>
      <c r="AY144" s="68" t="s">
        <v>526</v>
      </c>
      <c r="AZ144" s="68" t="s">
        <v>480</v>
      </c>
      <c r="BA144" s="49" t="s">
        <v>220</v>
      </c>
      <c r="BC144" s="37">
        <f t="shared" si="127"/>
        <v>0</v>
      </c>
      <c r="BD144" s="37">
        <f t="shared" si="128"/>
        <v>0</v>
      </c>
      <c r="BE144" s="37">
        <v>0</v>
      </c>
      <c r="BF144" s="37">
        <f>144</f>
        <v>144</v>
      </c>
      <c r="BH144" s="37">
        <f t="shared" si="129"/>
        <v>0</v>
      </c>
      <c r="BI144" s="37">
        <f t="shared" si="130"/>
        <v>0</v>
      </c>
      <c r="BJ144" s="37">
        <f t="shared" si="131"/>
        <v>0</v>
      </c>
      <c r="BK144" s="37"/>
      <c r="BL144" s="37">
        <v>725</v>
      </c>
      <c r="BW144" s="37">
        <v>21</v>
      </c>
      <c r="BX144" s="3" t="s">
        <v>559</v>
      </c>
    </row>
    <row r="145" spans="1:76" x14ac:dyDescent="0.25">
      <c r="A145" s="1" t="s">
        <v>560</v>
      </c>
      <c r="B145" s="2" t="s">
        <v>561</v>
      </c>
      <c r="C145" s="258" t="s">
        <v>562</v>
      </c>
      <c r="D145" s="259"/>
      <c r="E145" s="2" t="s">
        <v>309</v>
      </c>
      <c r="F145" s="37">
        <v>1</v>
      </c>
      <c r="G145" s="66">
        <v>0</v>
      </c>
      <c r="H145" s="37">
        <f t="shared" si="110"/>
        <v>0</v>
      </c>
      <c r="I145" s="37">
        <f t="shared" si="111"/>
        <v>0</v>
      </c>
      <c r="J145" s="37">
        <f t="shared" si="112"/>
        <v>0</v>
      </c>
      <c r="K145" s="67" t="s">
        <v>217</v>
      </c>
      <c r="Z145" s="37">
        <f t="shared" si="113"/>
        <v>0</v>
      </c>
      <c r="AB145" s="37">
        <f t="shared" si="114"/>
        <v>0</v>
      </c>
      <c r="AC145" s="37">
        <f t="shared" si="115"/>
        <v>0</v>
      </c>
      <c r="AD145" s="37">
        <f t="shared" si="116"/>
        <v>0</v>
      </c>
      <c r="AE145" s="37">
        <f t="shared" si="117"/>
        <v>0</v>
      </c>
      <c r="AF145" s="37">
        <f t="shared" si="118"/>
        <v>0</v>
      </c>
      <c r="AG145" s="37">
        <f t="shared" si="119"/>
        <v>0</v>
      </c>
      <c r="AH145" s="37">
        <f t="shared" si="120"/>
        <v>0</v>
      </c>
      <c r="AI145" s="49" t="s">
        <v>89</v>
      </c>
      <c r="AJ145" s="37">
        <f t="shared" si="121"/>
        <v>0</v>
      </c>
      <c r="AK145" s="37">
        <f t="shared" si="122"/>
        <v>0</v>
      </c>
      <c r="AL145" s="37">
        <f t="shared" si="123"/>
        <v>0</v>
      </c>
      <c r="AN145" s="37">
        <v>21</v>
      </c>
      <c r="AO145" s="37">
        <f>G145*0.8963074</f>
        <v>0</v>
      </c>
      <c r="AP145" s="37">
        <f>G145*(1-0.8963074)</f>
        <v>0</v>
      </c>
      <c r="AQ145" s="68" t="s">
        <v>237</v>
      </c>
      <c r="AV145" s="37">
        <f t="shared" si="124"/>
        <v>0</v>
      </c>
      <c r="AW145" s="37">
        <f t="shared" si="125"/>
        <v>0</v>
      </c>
      <c r="AX145" s="37">
        <f t="shared" si="126"/>
        <v>0</v>
      </c>
      <c r="AY145" s="68" t="s">
        <v>526</v>
      </c>
      <c r="AZ145" s="68" t="s">
        <v>480</v>
      </c>
      <c r="BA145" s="49" t="s">
        <v>220</v>
      </c>
      <c r="BC145" s="37">
        <f t="shared" si="127"/>
        <v>0</v>
      </c>
      <c r="BD145" s="37">
        <f t="shared" si="128"/>
        <v>0</v>
      </c>
      <c r="BE145" s="37">
        <v>0</v>
      </c>
      <c r="BF145" s="37">
        <f>145</f>
        <v>145</v>
      </c>
      <c r="BH145" s="37">
        <f t="shared" si="129"/>
        <v>0</v>
      </c>
      <c r="BI145" s="37">
        <f t="shared" si="130"/>
        <v>0</v>
      </c>
      <c r="BJ145" s="37">
        <f t="shared" si="131"/>
        <v>0</v>
      </c>
      <c r="BK145" s="37"/>
      <c r="BL145" s="37">
        <v>725</v>
      </c>
      <c r="BW145" s="37">
        <v>21</v>
      </c>
      <c r="BX145" s="3" t="s">
        <v>562</v>
      </c>
    </row>
    <row r="146" spans="1:76" x14ac:dyDescent="0.25">
      <c r="A146" s="1" t="s">
        <v>563</v>
      </c>
      <c r="B146" s="2" t="s">
        <v>564</v>
      </c>
      <c r="C146" s="258" t="s">
        <v>565</v>
      </c>
      <c r="D146" s="259"/>
      <c r="E146" s="2" t="s">
        <v>504</v>
      </c>
      <c r="F146" s="37">
        <v>1</v>
      </c>
      <c r="G146" s="66">
        <v>0</v>
      </c>
      <c r="H146" s="37">
        <f t="shared" si="110"/>
        <v>0</v>
      </c>
      <c r="I146" s="37">
        <f t="shared" si="111"/>
        <v>0</v>
      </c>
      <c r="J146" s="37">
        <f t="shared" si="112"/>
        <v>0</v>
      </c>
      <c r="K146" s="67" t="s">
        <v>217</v>
      </c>
      <c r="Z146" s="37">
        <f t="shared" si="113"/>
        <v>0</v>
      </c>
      <c r="AB146" s="37">
        <f t="shared" si="114"/>
        <v>0</v>
      </c>
      <c r="AC146" s="37">
        <f t="shared" si="115"/>
        <v>0</v>
      </c>
      <c r="AD146" s="37">
        <f t="shared" si="116"/>
        <v>0</v>
      </c>
      <c r="AE146" s="37">
        <f t="shared" si="117"/>
        <v>0</v>
      </c>
      <c r="AF146" s="37">
        <f t="shared" si="118"/>
        <v>0</v>
      </c>
      <c r="AG146" s="37">
        <f t="shared" si="119"/>
        <v>0</v>
      </c>
      <c r="AH146" s="37">
        <f t="shared" si="120"/>
        <v>0</v>
      </c>
      <c r="AI146" s="49" t="s">
        <v>89</v>
      </c>
      <c r="AJ146" s="37">
        <f t="shared" si="121"/>
        <v>0</v>
      </c>
      <c r="AK146" s="37">
        <f t="shared" si="122"/>
        <v>0</v>
      </c>
      <c r="AL146" s="37">
        <f t="shared" si="123"/>
        <v>0</v>
      </c>
      <c r="AN146" s="37">
        <v>21</v>
      </c>
      <c r="AO146" s="37">
        <f>G146*0.699327122</f>
        <v>0</v>
      </c>
      <c r="AP146" s="37">
        <f>G146*(1-0.699327122)</f>
        <v>0</v>
      </c>
      <c r="AQ146" s="68" t="s">
        <v>237</v>
      </c>
      <c r="AV146" s="37">
        <f t="shared" si="124"/>
        <v>0</v>
      </c>
      <c r="AW146" s="37">
        <f t="shared" si="125"/>
        <v>0</v>
      </c>
      <c r="AX146" s="37">
        <f t="shared" si="126"/>
        <v>0</v>
      </c>
      <c r="AY146" s="68" t="s">
        <v>526</v>
      </c>
      <c r="AZ146" s="68" t="s">
        <v>480</v>
      </c>
      <c r="BA146" s="49" t="s">
        <v>220</v>
      </c>
      <c r="BC146" s="37">
        <f t="shared" si="127"/>
        <v>0</v>
      </c>
      <c r="BD146" s="37">
        <f t="shared" si="128"/>
        <v>0</v>
      </c>
      <c r="BE146" s="37">
        <v>0</v>
      </c>
      <c r="BF146" s="37">
        <f>146</f>
        <v>146</v>
      </c>
      <c r="BH146" s="37">
        <f t="shared" si="129"/>
        <v>0</v>
      </c>
      <c r="BI146" s="37">
        <f t="shared" si="130"/>
        <v>0</v>
      </c>
      <c r="BJ146" s="37">
        <f t="shared" si="131"/>
        <v>0</v>
      </c>
      <c r="BK146" s="37"/>
      <c r="BL146" s="37">
        <v>725</v>
      </c>
      <c r="BW146" s="37">
        <v>21</v>
      </c>
      <c r="BX146" s="3" t="s">
        <v>565</v>
      </c>
    </row>
    <row r="147" spans="1:76" x14ac:dyDescent="0.25">
      <c r="A147" s="1" t="s">
        <v>566</v>
      </c>
      <c r="B147" s="2" t="s">
        <v>567</v>
      </c>
      <c r="C147" s="258" t="s">
        <v>568</v>
      </c>
      <c r="D147" s="259"/>
      <c r="E147" s="2" t="s">
        <v>309</v>
      </c>
      <c r="F147" s="37">
        <v>1</v>
      </c>
      <c r="G147" s="66">
        <v>0</v>
      </c>
      <c r="H147" s="37">
        <f t="shared" si="110"/>
        <v>0</v>
      </c>
      <c r="I147" s="37">
        <f t="shared" si="111"/>
        <v>0</v>
      </c>
      <c r="J147" s="37">
        <f t="shared" si="112"/>
        <v>0</v>
      </c>
      <c r="K147" s="67" t="s">
        <v>217</v>
      </c>
      <c r="Z147" s="37">
        <f t="shared" si="113"/>
        <v>0</v>
      </c>
      <c r="AB147" s="37">
        <f t="shared" si="114"/>
        <v>0</v>
      </c>
      <c r="AC147" s="37">
        <f t="shared" si="115"/>
        <v>0</v>
      </c>
      <c r="AD147" s="37">
        <f t="shared" si="116"/>
        <v>0</v>
      </c>
      <c r="AE147" s="37">
        <f t="shared" si="117"/>
        <v>0</v>
      </c>
      <c r="AF147" s="37">
        <f t="shared" si="118"/>
        <v>0</v>
      </c>
      <c r="AG147" s="37">
        <f t="shared" si="119"/>
        <v>0</v>
      </c>
      <c r="AH147" s="37">
        <f t="shared" si="120"/>
        <v>0</v>
      </c>
      <c r="AI147" s="49" t="s">
        <v>89</v>
      </c>
      <c r="AJ147" s="37">
        <f t="shared" si="121"/>
        <v>0</v>
      </c>
      <c r="AK147" s="37">
        <f t="shared" si="122"/>
        <v>0</v>
      </c>
      <c r="AL147" s="37">
        <f t="shared" si="123"/>
        <v>0</v>
      </c>
      <c r="AN147" s="37">
        <v>21</v>
      </c>
      <c r="AO147" s="37">
        <f>G147*1</f>
        <v>0</v>
      </c>
      <c r="AP147" s="37">
        <f>G147*(1-1)</f>
        <v>0</v>
      </c>
      <c r="AQ147" s="68" t="s">
        <v>237</v>
      </c>
      <c r="AV147" s="37">
        <f t="shared" si="124"/>
        <v>0</v>
      </c>
      <c r="AW147" s="37">
        <f t="shared" si="125"/>
        <v>0</v>
      </c>
      <c r="AX147" s="37">
        <f t="shared" si="126"/>
        <v>0</v>
      </c>
      <c r="AY147" s="68" t="s">
        <v>526</v>
      </c>
      <c r="AZ147" s="68" t="s">
        <v>480</v>
      </c>
      <c r="BA147" s="49" t="s">
        <v>220</v>
      </c>
      <c r="BC147" s="37">
        <f t="shared" si="127"/>
        <v>0</v>
      </c>
      <c r="BD147" s="37">
        <f t="shared" si="128"/>
        <v>0</v>
      </c>
      <c r="BE147" s="37">
        <v>0</v>
      </c>
      <c r="BF147" s="37">
        <f>147</f>
        <v>147</v>
      </c>
      <c r="BH147" s="37">
        <f t="shared" si="129"/>
        <v>0</v>
      </c>
      <c r="BI147" s="37">
        <f t="shared" si="130"/>
        <v>0</v>
      </c>
      <c r="BJ147" s="37">
        <f t="shared" si="131"/>
        <v>0</v>
      </c>
      <c r="BK147" s="37"/>
      <c r="BL147" s="37">
        <v>725</v>
      </c>
      <c r="BW147" s="37">
        <v>21</v>
      </c>
      <c r="BX147" s="3" t="s">
        <v>568</v>
      </c>
    </row>
    <row r="148" spans="1:76" x14ac:dyDescent="0.25">
      <c r="A148" s="1" t="s">
        <v>569</v>
      </c>
      <c r="B148" s="2" t="s">
        <v>570</v>
      </c>
      <c r="C148" s="258" t="s">
        <v>571</v>
      </c>
      <c r="D148" s="259"/>
      <c r="E148" s="2" t="s">
        <v>63</v>
      </c>
      <c r="F148" s="37">
        <v>653.24990000000003</v>
      </c>
      <c r="G148" s="66">
        <v>0</v>
      </c>
      <c r="H148" s="37">
        <f t="shared" si="110"/>
        <v>0</v>
      </c>
      <c r="I148" s="37">
        <f t="shared" si="111"/>
        <v>0</v>
      </c>
      <c r="J148" s="37">
        <f t="shared" si="112"/>
        <v>0</v>
      </c>
      <c r="K148" s="67" t="s">
        <v>217</v>
      </c>
      <c r="Z148" s="37">
        <f t="shared" si="113"/>
        <v>0</v>
      </c>
      <c r="AB148" s="37">
        <f t="shared" si="114"/>
        <v>0</v>
      </c>
      <c r="AC148" s="37">
        <f t="shared" si="115"/>
        <v>0</v>
      </c>
      <c r="AD148" s="37">
        <f t="shared" si="116"/>
        <v>0</v>
      </c>
      <c r="AE148" s="37">
        <f t="shared" si="117"/>
        <v>0</v>
      </c>
      <c r="AF148" s="37">
        <f t="shared" si="118"/>
        <v>0</v>
      </c>
      <c r="AG148" s="37">
        <f t="shared" si="119"/>
        <v>0</v>
      </c>
      <c r="AH148" s="37">
        <f t="shared" si="120"/>
        <v>0</v>
      </c>
      <c r="AI148" s="49" t="s">
        <v>89</v>
      </c>
      <c r="AJ148" s="37">
        <f t="shared" si="121"/>
        <v>0</v>
      </c>
      <c r="AK148" s="37">
        <f t="shared" si="122"/>
        <v>0</v>
      </c>
      <c r="AL148" s="37">
        <f t="shared" si="123"/>
        <v>0</v>
      </c>
      <c r="AN148" s="37">
        <v>21</v>
      </c>
      <c r="AO148" s="37">
        <f>G148*0</f>
        <v>0</v>
      </c>
      <c r="AP148" s="37">
        <f>G148*(1-0)</f>
        <v>0</v>
      </c>
      <c r="AQ148" s="68" t="s">
        <v>231</v>
      </c>
      <c r="AV148" s="37">
        <f t="shared" si="124"/>
        <v>0</v>
      </c>
      <c r="AW148" s="37">
        <f t="shared" si="125"/>
        <v>0</v>
      </c>
      <c r="AX148" s="37">
        <f t="shared" si="126"/>
        <v>0</v>
      </c>
      <c r="AY148" s="68" t="s">
        <v>526</v>
      </c>
      <c r="AZ148" s="68" t="s">
        <v>480</v>
      </c>
      <c r="BA148" s="49" t="s">
        <v>220</v>
      </c>
      <c r="BC148" s="37">
        <f t="shared" si="127"/>
        <v>0</v>
      </c>
      <c r="BD148" s="37">
        <f t="shared" si="128"/>
        <v>0</v>
      </c>
      <c r="BE148" s="37">
        <v>0</v>
      </c>
      <c r="BF148" s="37">
        <f>148</f>
        <v>148</v>
      </c>
      <c r="BH148" s="37">
        <f t="shared" si="129"/>
        <v>0</v>
      </c>
      <c r="BI148" s="37">
        <f t="shared" si="130"/>
        <v>0</v>
      </c>
      <c r="BJ148" s="37">
        <f t="shared" si="131"/>
        <v>0</v>
      </c>
      <c r="BK148" s="37"/>
      <c r="BL148" s="37">
        <v>725</v>
      </c>
      <c r="BW148" s="37">
        <v>21</v>
      </c>
      <c r="BX148" s="3" t="s">
        <v>571</v>
      </c>
    </row>
    <row r="149" spans="1:76" x14ac:dyDescent="0.25">
      <c r="A149" s="61" t="s">
        <v>4</v>
      </c>
      <c r="B149" s="62" t="s">
        <v>135</v>
      </c>
      <c r="C149" s="343" t="s">
        <v>136</v>
      </c>
      <c r="D149" s="344"/>
      <c r="E149" s="63" t="s">
        <v>81</v>
      </c>
      <c r="F149" s="63" t="s">
        <v>81</v>
      </c>
      <c r="G149" s="64" t="s">
        <v>81</v>
      </c>
      <c r="H149" s="43">
        <f>SUM(H150:H151)</f>
        <v>0</v>
      </c>
      <c r="I149" s="43">
        <f>SUM(I150:I151)</f>
        <v>0</v>
      </c>
      <c r="J149" s="43">
        <f>SUM(J150:J151)</f>
        <v>0</v>
      </c>
      <c r="K149" s="65" t="s">
        <v>4</v>
      </c>
      <c r="AI149" s="49" t="s">
        <v>89</v>
      </c>
      <c r="AS149" s="43">
        <f>SUM(AJ150:AJ151)</f>
        <v>0</v>
      </c>
      <c r="AT149" s="43">
        <f>SUM(AK150:AK151)</f>
        <v>0</v>
      </c>
      <c r="AU149" s="43">
        <f>SUM(AL150:AL151)</f>
        <v>0</v>
      </c>
    </row>
    <row r="150" spans="1:76" x14ac:dyDescent="0.25">
      <c r="A150" s="1" t="s">
        <v>572</v>
      </c>
      <c r="B150" s="2" t="s">
        <v>573</v>
      </c>
      <c r="C150" s="258" t="s">
        <v>574</v>
      </c>
      <c r="D150" s="259"/>
      <c r="E150" s="2" t="s">
        <v>504</v>
      </c>
      <c r="F150" s="37">
        <v>1</v>
      </c>
      <c r="G150" s="66">
        <v>0</v>
      </c>
      <c r="H150" s="37">
        <f>F150*AO150</f>
        <v>0</v>
      </c>
      <c r="I150" s="37">
        <f>F150*AP150</f>
        <v>0</v>
      </c>
      <c r="J150" s="37">
        <f>F150*G150</f>
        <v>0</v>
      </c>
      <c r="K150" s="67" t="s">
        <v>217</v>
      </c>
      <c r="Z150" s="37">
        <f>IF(AQ150="5",BJ150,0)</f>
        <v>0</v>
      </c>
      <c r="AB150" s="37">
        <f>IF(AQ150="1",BH150,0)</f>
        <v>0</v>
      </c>
      <c r="AC150" s="37">
        <f>IF(AQ150="1",BI150,0)</f>
        <v>0</v>
      </c>
      <c r="AD150" s="37">
        <f>IF(AQ150="7",BH150,0)</f>
        <v>0</v>
      </c>
      <c r="AE150" s="37">
        <f>IF(AQ150="7",BI150,0)</f>
        <v>0</v>
      </c>
      <c r="AF150" s="37">
        <f>IF(AQ150="2",BH150,0)</f>
        <v>0</v>
      </c>
      <c r="AG150" s="37">
        <f>IF(AQ150="2",BI150,0)</f>
        <v>0</v>
      </c>
      <c r="AH150" s="37">
        <f>IF(AQ150="0",BJ150,0)</f>
        <v>0</v>
      </c>
      <c r="AI150" s="49" t="s">
        <v>89</v>
      </c>
      <c r="AJ150" s="37">
        <f>IF(AN150=0,J150,0)</f>
        <v>0</v>
      </c>
      <c r="AK150" s="37">
        <f>IF(AN150=12,J150,0)</f>
        <v>0</v>
      </c>
      <c r="AL150" s="37">
        <f>IF(AN150=21,J150,0)</f>
        <v>0</v>
      </c>
      <c r="AN150" s="37">
        <v>21</v>
      </c>
      <c r="AO150" s="37">
        <f>G150*0.860904216</f>
        <v>0</v>
      </c>
      <c r="AP150" s="37">
        <f>G150*(1-0.860904216)</f>
        <v>0</v>
      </c>
      <c r="AQ150" s="68" t="s">
        <v>237</v>
      </c>
      <c r="AV150" s="37">
        <f>AW150+AX150</f>
        <v>0</v>
      </c>
      <c r="AW150" s="37">
        <f>F150*AO150</f>
        <v>0</v>
      </c>
      <c r="AX150" s="37">
        <f>F150*AP150</f>
        <v>0</v>
      </c>
      <c r="AY150" s="68" t="s">
        <v>575</v>
      </c>
      <c r="AZ150" s="68" t="s">
        <v>480</v>
      </c>
      <c r="BA150" s="49" t="s">
        <v>220</v>
      </c>
      <c r="BC150" s="37">
        <f>AW150+AX150</f>
        <v>0</v>
      </c>
      <c r="BD150" s="37">
        <f>G150/(100-BE150)*100</f>
        <v>0</v>
      </c>
      <c r="BE150" s="37">
        <v>0</v>
      </c>
      <c r="BF150" s="37">
        <f>150</f>
        <v>150</v>
      </c>
      <c r="BH150" s="37">
        <f>F150*AO150</f>
        <v>0</v>
      </c>
      <c r="BI150" s="37">
        <f>F150*AP150</f>
        <v>0</v>
      </c>
      <c r="BJ150" s="37">
        <f>F150*G150</f>
        <v>0</v>
      </c>
      <c r="BK150" s="37"/>
      <c r="BL150" s="37">
        <v>726</v>
      </c>
      <c r="BW150" s="37">
        <v>21</v>
      </c>
      <c r="BX150" s="3" t="s">
        <v>574</v>
      </c>
    </row>
    <row r="151" spans="1:76" x14ac:dyDescent="0.25">
      <c r="A151" s="1" t="s">
        <v>576</v>
      </c>
      <c r="B151" s="2" t="s">
        <v>577</v>
      </c>
      <c r="C151" s="258" t="s">
        <v>578</v>
      </c>
      <c r="D151" s="259"/>
      <c r="E151" s="2" t="s">
        <v>63</v>
      </c>
      <c r="F151" s="37">
        <v>92.250100000000003</v>
      </c>
      <c r="G151" s="66">
        <v>0</v>
      </c>
      <c r="H151" s="37">
        <f>F151*AO151</f>
        <v>0</v>
      </c>
      <c r="I151" s="37">
        <f>F151*AP151</f>
        <v>0</v>
      </c>
      <c r="J151" s="37">
        <f>F151*G151</f>
        <v>0</v>
      </c>
      <c r="K151" s="67" t="s">
        <v>217</v>
      </c>
      <c r="Z151" s="37">
        <f>IF(AQ151="5",BJ151,0)</f>
        <v>0</v>
      </c>
      <c r="AB151" s="37">
        <f>IF(AQ151="1",BH151,0)</f>
        <v>0</v>
      </c>
      <c r="AC151" s="37">
        <f>IF(AQ151="1",BI151,0)</f>
        <v>0</v>
      </c>
      <c r="AD151" s="37">
        <f>IF(AQ151="7",BH151,0)</f>
        <v>0</v>
      </c>
      <c r="AE151" s="37">
        <f>IF(AQ151="7",BI151,0)</f>
        <v>0</v>
      </c>
      <c r="AF151" s="37">
        <f>IF(AQ151="2",BH151,0)</f>
        <v>0</v>
      </c>
      <c r="AG151" s="37">
        <f>IF(AQ151="2",BI151,0)</f>
        <v>0</v>
      </c>
      <c r="AH151" s="37">
        <f>IF(AQ151="0",BJ151,0)</f>
        <v>0</v>
      </c>
      <c r="AI151" s="49" t="s">
        <v>89</v>
      </c>
      <c r="AJ151" s="37">
        <f>IF(AN151=0,J151,0)</f>
        <v>0</v>
      </c>
      <c r="AK151" s="37">
        <f>IF(AN151=12,J151,0)</f>
        <v>0</v>
      </c>
      <c r="AL151" s="37">
        <f>IF(AN151=21,J151,0)</f>
        <v>0</v>
      </c>
      <c r="AN151" s="37">
        <v>21</v>
      </c>
      <c r="AO151" s="37">
        <f>G151*0</f>
        <v>0</v>
      </c>
      <c r="AP151" s="37">
        <f>G151*(1-0)</f>
        <v>0</v>
      </c>
      <c r="AQ151" s="68" t="s">
        <v>231</v>
      </c>
      <c r="AV151" s="37">
        <f>AW151+AX151</f>
        <v>0</v>
      </c>
      <c r="AW151" s="37">
        <f>F151*AO151</f>
        <v>0</v>
      </c>
      <c r="AX151" s="37">
        <f>F151*AP151</f>
        <v>0</v>
      </c>
      <c r="AY151" s="68" t="s">
        <v>575</v>
      </c>
      <c r="AZ151" s="68" t="s">
        <v>480</v>
      </c>
      <c r="BA151" s="49" t="s">
        <v>220</v>
      </c>
      <c r="BC151" s="37">
        <f>AW151+AX151</f>
        <v>0</v>
      </c>
      <c r="BD151" s="37">
        <f>G151/(100-BE151)*100</f>
        <v>0</v>
      </c>
      <c r="BE151" s="37">
        <v>0</v>
      </c>
      <c r="BF151" s="37">
        <f>151</f>
        <v>151</v>
      </c>
      <c r="BH151" s="37">
        <f>F151*AO151</f>
        <v>0</v>
      </c>
      <c r="BI151" s="37">
        <f>F151*AP151</f>
        <v>0</v>
      </c>
      <c r="BJ151" s="37">
        <f>F151*G151</f>
        <v>0</v>
      </c>
      <c r="BK151" s="37"/>
      <c r="BL151" s="37">
        <v>726</v>
      </c>
      <c r="BW151" s="37">
        <v>21</v>
      </c>
      <c r="BX151" s="3" t="s">
        <v>578</v>
      </c>
    </row>
    <row r="152" spans="1:76" x14ac:dyDescent="0.25">
      <c r="A152" s="61" t="s">
        <v>4</v>
      </c>
      <c r="B152" s="62" t="s">
        <v>137</v>
      </c>
      <c r="C152" s="343" t="s">
        <v>138</v>
      </c>
      <c r="D152" s="344"/>
      <c r="E152" s="63" t="s">
        <v>81</v>
      </c>
      <c r="F152" s="63" t="s">
        <v>81</v>
      </c>
      <c r="G152" s="64" t="s">
        <v>81</v>
      </c>
      <c r="H152" s="43">
        <f>SUM(H153:H172)</f>
        <v>0</v>
      </c>
      <c r="I152" s="43">
        <f>SUM(I153:I172)</f>
        <v>0</v>
      </c>
      <c r="J152" s="43">
        <f>SUM(J153:J172)</f>
        <v>0</v>
      </c>
      <c r="K152" s="65" t="s">
        <v>4</v>
      </c>
      <c r="AI152" s="49" t="s">
        <v>89</v>
      </c>
      <c r="AS152" s="43">
        <f>SUM(AJ153:AJ172)</f>
        <v>0</v>
      </c>
      <c r="AT152" s="43">
        <f>SUM(AK153:AK172)</f>
        <v>0</v>
      </c>
      <c r="AU152" s="43">
        <f>SUM(AL153:AL172)</f>
        <v>0</v>
      </c>
    </row>
    <row r="153" spans="1:76" x14ac:dyDescent="0.25">
      <c r="A153" s="1" t="s">
        <v>579</v>
      </c>
      <c r="B153" s="2" t="s">
        <v>580</v>
      </c>
      <c r="C153" s="258" t="s">
        <v>581</v>
      </c>
      <c r="D153" s="259"/>
      <c r="E153" s="2" t="s">
        <v>504</v>
      </c>
      <c r="F153" s="37">
        <v>1</v>
      </c>
      <c r="G153" s="66">
        <v>0</v>
      </c>
      <c r="H153" s="37">
        <f>F153*AO153</f>
        <v>0</v>
      </c>
      <c r="I153" s="37">
        <f>F153*AP153</f>
        <v>0</v>
      </c>
      <c r="J153" s="37">
        <f>F153*G153</f>
        <v>0</v>
      </c>
      <c r="K153" s="67" t="s">
        <v>327</v>
      </c>
      <c r="Z153" s="37">
        <f>IF(AQ153="5",BJ153,0)</f>
        <v>0</v>
      </c>
      <c r="AB153" s="37">
        <f>IF(AQ153="1",BH153,0)</f>
        <v>0</v>
      </c>
      <c r="AC153" s="37">
        <f>IF(AQ153="1",BI153,0)</f>
        <v>0</v>
      </c>
      <c r="AD153" s="37">
        <f>IF(AQ153="7",BH153,0)</f>
        <v>0</v>
      </c>
      <c r="AE153" s="37">
        <f>IF(AQ153="7",BI153,0)</f>
        <v>0</v>
      </c>
      <c r="AF153" s="37">
        <f>IF(AQ153="2",BH153,0)</f>
        <v>0</v>
      </c>
      <c r="AG153" s="37">
        <f>IF(AQ153="2",BI153,0)</f>
        <v>0</v>
      </c>
      <c r="AH153" s="37">
        <f>IF(AQ153="0",BJ153,0)</f>
        <v>0</v>
      </c>
      <c r="AI153" s="49" t="s">
        <v>89</v>
      </c>
      <c r="AJ153" s="37">
        <f>IF(AN153=0,J153,0)</f>
        <v>0</v>
      </c>
      <c r="AK153" s="37">
        <f>IF(AN153=12,J153,0)</f>
        <v>0</v>
      </c>
      <c r="AL153" s="37">
        <f>IF(AN153=21,J153,0)</f>
        <v>0</v>
      </c>
      <c r="AN153" s="37">
        <v>21</v>
      </c>
      <c r="AO153" s="37">
        <f>G153*0</f>
        <v>0</v>
      </c>
      <c r="AP153" s="37">
        <f>G153*(1-0)</f>
        <v>0</v>
      </c>
      <c r="AQ153" s="68" t="s">
        <v>237</v>
      </c>
      <c r="AV153" s="37">
        <f>AW153+AX153</f>
        <v>0</v>
      </c>
      <c r="AW153" s="37">
        <f>F153*AO153</f>
        <v>0</v>
      </c>
      <c r="AX153" s="37">
        <f>F153*AP153</f>
        <v>0</v>
      </c>
      <c r="AY153" s="68" t="s">
        <v>582</v>
      </c>
      <c r="AZ153" s="68" t="s">
        <v>480</v>
      </c>
      <c r="BA153" s="49" t="s">
        <v>220</v>
      </c>
      <c r="BC153" s="37">
        <f>AW153+AX153</f>
        <v>0</v>
      </c>
      <c r="BD153" s="37">
        <f>G153/(100-BE153)*100</f>
        <v>0</v>
      </c>
      <c r="BE153" s="37">
        <v>0</v>
      </c>
      <c r="BF153" s="37">
        <f>153</f>
        <v>153</v>
      </c>
      <c r="BH153" s="37">
        <f>F153*AO153</f>
        <v>0</v>
      </c>
      <c r="BI153" s="37">
        <f>F153*AP153</f>
        <v>0</v>
      </c>
      <c r="BJ153" s="37">
        <f>F153*G153</f>
        <v>0</v>
      </c>
      <c r="BK153" s="37"/>
      <c r="BL153" s="37">
        <v>728</v>
      </c>
      <c r="BW153" s="37">
        <v>21</v>
      </c>
      <c r="BX153" s="3" t="s">
        <v>581</v>
      </c>
    </row>
    <row r="154" spans="1:76" ht="13.5" customHeight="1" x14ac:dyDescent="0.25">
      <c r="A154" s="69"/>
      <c r="B154" s="70" t="s">
        <v>57</v>
      </c>
      <c r="C154" s="346" t="s">
        <v>583</v>
      </c>
      <c r="D154" s="347"/>
      <c r="E154" s="347"/>
      <c r="F154" s="347"/>
      <c r="G154" s="348"/>
      <c r="H154" s="347"/>
      <c r="I154" s="347"/>
      <c r="J154" s="347"/>
      <c r="K154" s="349"/>
    </row>
    <row r="155" spans="1:76" x14ac:dyDescent="0.25">
      <c r="A155" s="1" t="s">
        <v>584</v>
      </c>
      <c r="B155" s="2" t="s">
        <v>585</v>
      </c>
      <c r="C155" s="258" t="s">
        <v>586</v>
      </c>
      <c r="D155" s="259"/>
      <c r="E155" s="2" t="s">
        <v>504</v>
      </c>
      <c r="F155" s="37">
        <v>1</v>
      </c>
      <c r="G155" s="66">
        <v>0</v>
      </c>
      <c r="H155" s="37">
        <f t="shared" ref="H155:H172" si="132">F155*AO155</f>
        <v>0</v>
      </c>
      <c r="I155" s="37">
        <f t="shared" ref="I155:I172" si="133">F155*AP155</f>
        <v>0</v>
      </c>
      <c r="J155" s="37">
        <f t="shared" ref="J155:J172" si="134">F155*G155</f>
        <v>0</v>
      </c>
      <c r="K155" s="67" t="s">
        <v>327</v>
      </c>
      <c r="Z155" s="37">
        <f t="shared" ref="Z155:Z172" si="135">IF(AQ155="5",BJ155,0)</f>
        <v>0</v>
      </c>
      <c r="AB155" s="37">
        <f t="shared" ref="AB155:AB172" si="136">IF(AQ155="1",BH155,0)</f>
        <v>0</v>
      </c>
      <c r="AC155" s="37">
        <f t="shared" ref="AC155:AC172" si="137">IF(AQ155="1",BI155,0)</f>
        <v>0</v>
      </c>
      <c r="AD155" s="37">
        <f t="shared" ref="AD155:AD172" si="138">IF(AQ155="7",BH155,0)</f>
        <v>0</v>
      </c>
      <c r="AE155" s="37">
        <f t="shared" ref="AE155:AE172" si="139">IF(AQ155="7",BI155,0)</f>
        <v>0</v>
      </c>
      <c r="AF155" s="37">
        <f t="shared" ref="AF155:AF172" si="140">IF(AQ155="2",BH155,0)</f>
        <v>0</v>
      </c>
      <c r="AG155" s="37">
        <f t="shared" ref="AG155:AG172" si="141">IF(AQ155="2",BI155,0)</f>
        <v>0</v>
      </c>
      <c r="AH155" s="37">
        <f t="shared" ref="AH155:AH172" si="142">IF(AQ155="0",BJ155,0)</f>
        <v>0</v>
      </c>
      <c r="AI155" s="49" t="s">
        <v>89</v>
      </c>
      <c r="AJ155" s="37">
        <f t="shared" ref="AJ155:AJ172" si="143">IF(AN155=0,J155,0)</f>
        <v>0</v>
      </c>
      <c r="AK155" s="37">
        <f t="shared" ref="AK155:AK172" si="144">IF(AN155=12,J155,0)</f>
        <v>0</v>
      </c>
      <c r="AL155" s="37">
        <f t="shared" ref="AL155:AL172" si="145">IF(AN155=21,J155,0)</f>
        <v>0</v>
      </c>
      <c r="AN155" s="37">
        <v>21</v>
      </c>
      <c r="AO155" s="37">
        <f t="shared" ref="AO155:AO162" si="146">G155*0</f>
        <v>0</v>
      </c>
      <c r="AP155" s="37">
        <f t="shared" ref="AP155:AP162" si="147">G155*(1-0)</f>
        <v>0</v>
      </c>
      <c r="AQ155" s="68" t="s">
        <v>237</v>
      </c>
      <c r="AV155" s="37">
        <f t="shared" ref="AV155:AV172" si="148">AW155+AX155</f>
        <v>0</v>
      </c>
      <c r="AW155" s="37">
        <f t="shared" ref="AW155:AW172" si="149">F155*AO155</f>
        <v>0</v>
      </c>
      <c r="AX155" s="37">
        <f t="shared" ref="AX155:AX172" si="150">F155*AP155</f>
        <v>0</v>
      </c>
      <c r="AY155" s="68" t="s">
        <v>582</v>
      </c>
      <c r="AZ155" s="68" t="s">
        <v>480</v>
      </c>
      <c r="BA155" s="49" t="s">
        <v>220</v>
      </c>
      <c r="BC155" s="37">
        <f t="shared" ref="BC155:BC172" si="151">AW155+AX155</f>
        <v>0</v>
      </c>
      <c r="BD155" s="37">
        <f t="shared" ref="BD155:BD172" si="152">G155/(100-BE155)*100</f>
        <v>0</v>
      </c>
      <c r="BE155" s="37">
        <v>0</v>
      </c>
      <c r="BF155" s="37">
        <f>155</f>
        <v>155</v>
      </c>
      <c r="BH155" s="37">
        <f t="shared" ref="BH155:BH172" si="153">F155*AO155</f>
        <v>0</v>
      </c>
      <c r="BI155" s="37">
        <f t="shared" ref="BI155:BI172" si="154">F155*AP155</f>
        <v>0</v>
      </c>
      <c r="BJ155" s="37">
        <f t="shared" ref="BJ155:BJ172" si="155">F155*G155</f>
        <v>0</v>
      </c>
      <c r="BK155" s="37"/>
      <c r="BL155" s="37">
        <v>728</v>
      </c>
      <c r="BW155" s="37">
        <v>21</v>
      </c>
      <c r="BX155" s="3" t="s">
        <v>586</v>
      </c>
    </row>
    <row r="156" spans="1:76" x14ac:dyDescent="0.25">
      <c r="A156" s="1" t="s">
        <v>587</v>
      </c>
      <c r="B156" s="2" t="s">
        <v>588</v>
      </c>
      <c r="C156" s="258" t="s">
        <v>589</v>
      </c>
      <c r="D156" s="259"/>
      <c r="E156" s="2" t="s">
        <v>309</v>
      </c>
      <c r="F156" s="37">
        <v>3</v>
      </c>
      <c r="G156" s="66">
        <v>0</v>
      </c>
      <c r="H156" s="37">
        <f t="shared" si="132"/>
        <v>0</v>
      </c>
      <c r="I156" s="37">
        <f t="shared" si="133"/>
        <v>0</v>
      </c>
      <c r="J156" s="37">
        <f t="shared" si="134"/>
        <v>0</v>
      </c>
      <c r="K156" s="67" t="s">
        <v>327</v>
      </c>
      <c r="Z156" s="37">
        <f t="shared" si="135"/>
        <v>0</v>
      </c>
      <c r="AB156" s="37">
        <f t="shared" si="136"/>
        <v>0</v>
      </c>
      <c r="AC156" s="37">
        <f t="shared" si="137"/>
        <v>0</v>
      </c>
      <c r="AD156" s="37">
        <f t="shared" si="138"/>
        <v>0</v>
      </c>
      <c r="AE156" s="37">
        <f t="shared" si="139"/>
        <v>0</v>
      </c>
      <c r="AF156" s="37">
        <f t="shared" si="140"/>
        <v>0</v>
      </c>
      <c r="AG156" s="37">
        <f t="shared" si="141"/>
        <v>0</v>
      </c>
      <c r="AH156" s="37">
        <f t="shared" si="142"/>
        <v>0</v>
      </c>
      <c r="AI156" s="49" t="s">
        <v>89</v>
      </c>
      <c r="AJ156" s="37">
        <f t="shared" si="143"/>
        <v>0</v>
      </c>
      <c r="AK156" s="37">
        <f t="shared" si="144"/>
        <v>0</v>
      </c>
      <c r="AL156" s="37">
        <f t="shared" si="145"/>
        <v>0</v>
      </c>
      <c r="AN156" s="37">
        <v>21</v>
      </c>
      <c r="AO156" s="37">
        <f t="shared" si="146"/>
        <v>0</v>
      </c>
      <c r="AP156" s="37">
        <f t="shared" si="147"/>
        <v>0</v>
      </c>
      <c r="AQ156" s="68" t="s">
        <v>237</v>
      </c>
      <c r="AV156" s="37">
        <f t="shared" si="148"/>
        <v>0</v>
      </c>
      <c r="AW156" s="37">
        <f t="shared" si="149"/>
        <v>0</v>
      </c>
      <c r="AX156" s="37">
        <f t="shared" si="150"/>
        <v>0</v>
      </c>
      <c r="AY156" s="68" t="s">
        <v>582</v>
      </c>
      <c r="AZ156" s="68" t="s">
        <v>480</v>
      </c>
      <c r="BA156" s="49" t="s">
        <v>220</v>
      </c>
      <c r="BC156" s="37">
        <f t="shared" si="151"/>
        <v>0</v>
      </c>
      <c r="BD156" s="37">
        <f t="shared" si="152"/>
        <v>0</v>
      </c>
      <c r="BE156" s="37">
        <v>0</v>
      </c>
      <c r="BF156" s="37">
        <f>156</f>
        <v>156</v>
      </c>
      <c r="BH156" s="37">
        <f t="shared" si="153"/>
        <v>0</v>
      </c>
      <c r="BI156" s="37">
        <f t="shared" si="154"/>
        <v>0</v>
      </c>
      <c r="BJ156" s="37">
        <f t="shared" si="155"/>
        <v>0</v>
      </c>
      <c r="BK156" s="37"/>
      <c r="BL156" s="37">
        <v>728</v>
      </c>
      <c r="BW156" s="37">
        <v>21</v>
      </c>
      <c r="BX156" s="3" t="s">
        <v>589</v>
      </c>
    </row>
    <row r="157" spans="1:76" x14ac:dyDescent="0.25">
      <c r="A157" s="1" t="s">
        <v>590</v>
      </c>
      <c r="B157" s="2" t="s">
        <v>591</v>
      </c>
      <c r="C157" s="258" t="s">
        <v>592</v>
      </c>
      <c r="D157" s="259"/>
      <c r="E157" s="2" t="s">
        <v>504</v>
      </c>
      <c r="F157" s="37">
        <v>1</v>
      </c>
      <c r="G157" s="66">
        <v>0</v>
      </c>
      <c r="H157" s="37">
        <f t="shared" si="132"/>
        <v>0</v>
      </c>
      <c r="I157" s="37">
        <f t="shared" si="133"/>
        <v>0</v>
      </c>
      <c r="J157" s="37">
        <f t="shared" si="134"/>
        <v>0</v>
      </c>
      <c r="K157" s="67" t="s">
        <v>327</v>
      </c>
      <c r="Z157" s="37">
        <f t="shared" si="135"/>
        <v>0</v>
      </c>
      <c r="AB157" s="37">
        <f t="shared" si="136"/>
        <v>0</v>
      </c>
      <c r="AC157" s="37">
        <f t="shared" si="137"/>
        <v>0</v>
      </c>
      <c r="AD157" s="37">
        <f t="shared" si="138"/>
        <v>0</v>
      </c>
      <c r="AE157" s="37">
        <f t="shared" si="139"/>
        <v>0</v>
      </c>
      <c r="AF157" s="37">
        <f t="shared" si="140"/>
        <v>0</v>
      </c>
      <c r="AG157" s="37">
        <f t="shared" si="141"/>
        <v>0</v>
      </c>
      <c r="AH157" s="37">
        <f t="shared" si="142"/>
        <v>0</v>
      </c>
      <c r="AI157" s="49" t="s">
        <v>89</v>
      </c>
      <c r="AJ157" s="37">
        <f t="shared" si="143"/>
        <v>0</v>
      </c>
      <c r="AK157" s="37">
        <f t="shared" si="144"/>
        <v>0</v>
      </c>
      <c r="AL157" s="37">
        <f t="shared" si="145"/>
        <v>0</v>
      </c>
      <c r="AN157" s="37">
        <v>21</v>
      </c>
      <c r="AO157" s="37">
        <f t="shared" si="146"/>
        <v>0</v>
      </c>
      <c r="AP157" s="37">
        <f t="shared" si="147"/>
        <v>0</v>
      </c>
      <c r="AQ157" s="68" t="s">
        <v>237</v>
      </c>
      <c r="AV157" s="37">
        <f t="shared" si="148"/>
        <v>0</v>
      </c>
      <c r="AW157" s="37">
        <f t="shared" si="149"/>
        <v>0</v>
      </c>
      <c r="AX157" s="37">
        <f t="shared" si="150"/>
        <v>0</v>
      </c>
      <c r="AY157" s="68" t="s">
        <v>582</v>
      </c>
      <c r="AZ157" s="68" t="s">
        <v>480</v>
      </c>
      <c r="BA157" s="49" t="s">
        <v>220</v>
      </c>
      <c r="BC157" s="37">
        <f t="shared" si="151"/>
        <v>0</v>
      </c>
      <c r="BD157" s="37">
        <f t="shared" si="152"/>
        <v>0</v>
      </c>
      <c r="BE157" s="37">
        <v>0</v>
      </c>
      <c r="BF157" s="37">
        <f>157</f>
        <v>157</v>
      </c>
      <c r="BH157" s="37">
        <f t="shared" si="153"/>
        <v>0</v>
      </c>
      <c r="BI157" s="37">
        <f t="shared" si="154"/>
        <v>0</v>
      </c>
      <c r="BJ157" s="37">
        <f t="shared" si="155"/>
        <v>0</v>
      </c>
      <c r="BK157" s="37"/>
      <c r="BL157" s="37">
        <v>728</v>
      </c>
      <c r="BW157" s="37">
        <v>21</v>
      </c>
      <c r="BX157" s="3" t="s">
        <v>592</v>
      </c>
    </row>
    <row r="158" spans="1:76" x14ac:dyDescent="0.25">
      <c r="A158" s="1" t="s">
        <v>593</v>
      </c>
      <c r="B158" s="2" t="s">
        <v>594</v>
      </c>
      <c r="C158" s="258" t="s">
        <v>595</v>
      </c>
      <c r="D158" s="259"/>
      <c r="E158" s="2" t="s">
        <v>504</v>
      </c>
      <c r="F158" s="37">
        <v>2</v>
      </c>
      <c r="G158" s="66">
        <v>0</v>
      </c>
      <c r="H158" s="37">
        <f t="shared" si="132"/>
        <v>0</v>
      </c>
      <c r="I158" s="37">
        <f t="shared" si="133"/>
        <v>0</v>
      </c>
      <c r="J158" s="37">
        <f t="shared" si="134"/>
        <v>0</v>
      </c>
      <c r="K158" s="67" t="s">
        <v>327</v>
      </c>
      <c r="Z158" s="37">
        <f t="shared" si="135"/>
        <v>0</v>
      </c>
      <c r="AB158" s="37">
        <f t="shared" si="136"/>
        <v>0</v>
      </c>
      <c r="AC158" s="37">
        <f t="shared" si="137"/>
        <v>0</v>
      </c>
      <c r="AD158" s="37">
        <f t="shared" si="138"/>
        <v>0</v>
      </c>
      <c r="AE158" s="37">
        <f t="shared" si="139"/>
        <v>0</v>
      </c>
      <c r="AF158" s="37">
        <f t="shared" si="140"/>
        <v>0</v>
      </c>
      <c r="AG158" s="37">
        <f t="shared" si="141"/>
        <v>0</v>
      </c>
      <c r="AH158" s="37">
        <f t="shared" si="142"/>
        <v>0</v>
      </c>
      <c r="AI158" s="49" t="s">
        <v>89</v>
      </c>
      <c r="AJ158" s="37">
        <f t="shared" si="143"/>
        <v>0</v>
      </c>
      <c r="AK158" s="37">
        <f t="shared" si="144"/>
        <v>0</v>
      </c>
      <c r="AL158" s="37">
        <f t="shared" si="145"/>
        <v>0</v>
      </c>
      <c r="AN158" s="37">
        <v>21</v>
      </c>
      <c r="AO158" s="37">
        <f t="shared" si="146"/>
        <v>0</v>
      </c>
      <c r="AP158" s="37">
        <f t="shared" si="147"/>
        <v>0</v>
      </c>
      <c r="AQ158" s="68" t="s">
        <v>237</v>
      </c>
      <c r="AV158" s="37">
        <f t="shared" si="148"/>
        <v>0</v>
      </c>
      <c r="AW158" s="37">
        <f t="shared" si="149"/>
        <v>0</v>
      </c>
      <c r="AX158" s="37">
        <f t="shared" si="150"/>
        <v>0</v>
      </c>
      <c r="AY158" s="68" t="s">
        <v>582</v>
      </c>
      <c r="AZ158" s="68" t="s">
        <v>480</v>
      </c>
      <c r="BA158" s="49" t="s">
        <v>220</v>
      </c>
      <c r="BC158" s="37">
        <f t="shared" si="151"/>
        <v>0</v>
      </c>
      <c r="BD158" s="37">
        <f t="shared" si="152"/>
        <v>0</v>
      </c>
      <c r="BE158" s="37">
        <v>0</v>
      </c>
      <c r="BF158" s="37">
        <f>158</f>
        <v>158</v>
      </c>
      <c r="BH158" s="37">
        <f t="shared" si="153"/>
        <v>0</v>
      </c>
      <c r="BI158" s="37">
        <f t="shared" si="154"/>
        <v>0</v>
      </c>
      <c r="BJ158" s="37">
        <f t="shared" si="155"/>
        <v>0</v>
      </c>
      <c r="BK158" s="37"/>
      <c r="BL158" s="37">
        <v>728</v>
      </c>
      <c r="BW158" s="37">
        <v>21</v>
      </c>
      <c r="BX158" s="3" t="s">
        <v>595</v>
      </c>
    </row>
    <row r="159" spans="1:76" ht="25.5" x14ac:dyDescent="0.25">
      <c r="A159" s="1" t="s">
        <v>596</v>
      </c>
      <c r="B159" s="2" t="s">
        <v>597</v>
      </c>
      <c r="C159" s="258" t="s">
        <v>598</v>
      </c>
      <c r="D159" s="259"/>
      <c r="E159" s="2" t="s">
        <v>309</v>
      </c>
      <c r="F159" s="37">
        <v>2</v>
      </c>
      <c r="G159" s="66">
        <v>0</v>
      </c>
      <c r="H159" s="37">
        <f t="shared" si="132"/>
        <v>0</v>
      </c>
      <c r="I159" s="37">
        <f t="shared" si="133"/>
        <v>0</v>
      </c>
      <c r="J159" s="37">
        <f t="shared" si="134"/>
        <v>0</v>
      </c>
      <c r="K159" s="67" t="s">
        <v>327</v>
      </c>
      <c r="Z159" s="37">
        <f t="shared" si="135"/>
        <v>0</v>
      </c>
      <c r="AB159" s="37">
        <f t="shared" si="136"/>
        <v>0</v>
      </c>
      <c r="AC159" s="37">
        <f t="shared" si="137"/>
        <v>0</v>
      </c>
      <c r="AD159" s="37">
        <f t="shared" si="138"/>
        <v>0</v>
      </c>
      <c r="AE159" s="37">
        <f t="shared" si="139"/>
        <v>0</v>
      </c>
      <c r="AF159" s="37">
        <f t="shared" si="140"/>
        <v>0</v>
      </c>
      <c r="AG159" s="37">
        <f t="shared" si="141"/>
        <v>0</v>
      </c>
      <c r="AH159" s="37">
        <f t="shared" si="142"/>
        <v>0</v>
      </c>
      <c r="AI159" s="49" t="s">
        <v>89</v>
      </c>
      <c r="AJ159" s="37">
        <f t="shared" si="143"/>
        <v>0</v>
      </c>
      <c r="AK159" s="37">
        <f t="shared" si="144"/>
        <v>0</v>
      </c>
      <c r="AL159" s="37">
        <f t="shared" si="145"/>
        <v>0</v>
      </c>
      <c r="AN159" s="37">
        <v>21</v>
      </c>
      <c r="AO159" s="37">
        <f t="shared" si="146"/>
        <v>0</v>
      </c>
      <c r="AP159" s="37">
        <f t="shared" si="147"/>
        <v>0</v>
      </c>
      <c r="AQ159" s="68" t="s">
        <v>237</v>
      </c>
      <c r="AV159" s="37">
        <f t="shared" si="148"/>
        <v>0</v>
      </c>
      <c r="AW159" s="37">
        <f t="shared" si="149"/>
        <v>0</v>
      </c>
      <c r="AX159" s="37">
        <f t="shared" si="150"/>
        <v>0</v>
      </c>
      <c r="AY159" s="68" t="s">
        <v>582</v>
      </c>
      <c r="AZ159" s="68" t="s">
        <v>480</v>
      </c>
      <c r="BA159" s="49" t="s">
        <v>220</v>
      </c>
      <c r="BC159" s="37">
        <f t="shared" si="151"/>
        <v>0</v>
      </c>
      <c r="BD159" s="37">
        <f t="shared" si="152"/>
        <v>0</v>
      </c>
      <c r="BE159" s="37">
        <v>0</v>
      </c>
      <c r="BF159" s="37">
        <f>159</f>
        <v>159</v>
      </c>
      <c r="BH159" s="37">
        <f t="shared" si="153"/>
        <v>0</v>
      </c>
      <c r="BI159" s="37">
        <f t="shared" si="154"/>
        <v>0</v>
      </c>
      <c r="BJ159" s="37">
        <f t="shared" si="155"/>
        <v>0</v>
      </c>
      <c r="BK159" s="37"/>
      <c r="BL159" s="37">
        <v>728</v>
      </c>
      <c r="BW159" s="37">
        <v>21</v>
      </c>
      <c r="BX159" s="3" t="s">
        <v>598</v>
      </c>
    </row>
    <row r="160" spans="1:76" ht="25.5" x14ac:dyDescent="0.25">
      <c r="A160" s="1" t="s">
        <v>599</v>
      </c>
      <c r="B160" s="2" t="s">
        <v>600</v>
      </c>
      <c r="C160" s="258" t="s">
        <v>601</v>
      </c>
      <c r="D160" s="259"/>
      <c r="E160" s="2" t="s">
        <v>309</v>
      </c>
      <c r="F160" s="37">
        <v>2</v>
      </c>
      <c r="G160" s="66">
        <v>0</v>
      </c>
      <c r="H160" s="37">
        <f t="shared" si="132"/>
        <v>0</v>
      </c>
      <c r="I160" s="37">
        <f t="shared" si="133"/>
        <v>0</v>
      </c>
      <c r="J160" s="37">
        <f t="shared" si="134"/>
        <v>0</v>
      </c>
      <c r="K160" s="67" t="s">
        <v>327</v>
      </c>
      <c r="Z160" s="37">
        <f t="shared" si="135"/>
        <v>0</v>
      </c>
      <c r="AB160" s="37">
        <f t="shared" si="136"/>
        <v>0</v>
      </c>
      <c r="AC160" s="37">
        <f t="shared" si="137"/>
        <v>0</v>
      </c>
      <c r="AD160" s="37">
        <f t="shared" si="138"/>
        <v>0</v>
      </c>
      <c r="AE160" s="37">
        <f t="shared" si="139"/>
        <v>0</v>
      </c>
      <c r="AF160" s="37">
        <f t="shared" si="140"/>
        <v>0</v>
      </c>
      <c r="AG160" s="37">
        <f t="shared" si="141"/>
        <v>0</v>
      </c>
      <c r="AH160" s="37">
        <f t="shared" si="142"/>
        <v>0</v>
      </c>
      <c r="AI160" s="49" t="s">
        <v>89</v>
      </c>
      <c r="AJ160" s="37">
        <f t="shared" si="143"/>
        <v>0</v>
      </c>
      <c r="AK160" s="37">
        <f t="shared" si="144"/>
        <v>0</v>
      </c>
      <c r="AL160" s="37">
        <f t="shared" si="145"/>
        <v>0</v>
      </c>
      <c r="AN160" s="37">
        <v>21</v>
      </c>
      <c r="AO160" s="37">
        <f t="shared" si="146"/>
        <v>0</v>
      </c>
      <c r="AP160" s="37">
        <f t="shared" si="147"/>
        <v>0</v>
      </c>
      <c r="AQ160" s="68" t="s">
        <v>237</v>
      </c>
      <c r="AV160" s="37">
        <f t="shared" si="148"/>
        <v>0</v>
      </c>
      <c r="AW160" s="37">
        <f t="shared" si="149"/>
        <v>0</v>
      </c>
      <c r="AX160" s="37">
        <f t="shared" si="150"/>
        <v>0</v>
      </c>
      <c r="AY160" s="68" t="s">
        <v>582</v>
      </c>
      <c r="AZ160" s="68" t="s">
        <v>480</v>
      </c>
      <c r="BA160" s="49" t="s">
        <v>220</v>
      </c>
      <c r="BC160" s="37">
        <f t="shared" si="151"/>
        <v>0</v>
      </c>
      <c r="BD160" s="37">
        <f t="shared" si="152"/>
        <v>0</v>
      </c>
      <c r="BE160" s="37">
        <v>0</v>
      </c>
      <c r="BF160" s="37">
        <f>160</f>
        <v>160</v>
      </c>
      <c r="BH160" s="37">
        <f t="shared" si="153"/>
        <v>0</v>
      </c>
      <c r="BI160" s="37">
        <f t="shared" si="154"/>
        <v>0</v>
      </c>
      <c r="BJ160" s="37">
        <f t="shared" si="155"/>
        <v>0</v>
      </c>
      <c r="BK160" s="37"/>
      <c r="BL160" s="37">
        <v>728</v>
      </c>
      <c r="BW160" s="37">
        <v>21</v>
      </c>
      <c r="BX160" s="3" t="s">
        <v>601</v>
      </c>
    </row>
    <row r="161" spans="1:76" x14ac:dyDescent="0.25">
      <c r="A161" s="1" t="s">
        <v>602</v>
      </c>
      <c r="B161" s="2" t="s">
        <v>603</v>
      </c>
      <c r="C161" s="258" t="s">
        <v>604</v>
      </c>
      <c r="D161" s="259"/>
      <c r="E161" s="2" t="s">
        <v>504</v>
      </c>
      <c r="F161" s="37">
        <v>2</v>
      </c>
      <c r="G161" s="66">
        <v>0</v>
      </c>
      <c r="H161" s="37">
        <f t="shared" si="132"/>
        <v>0</v>
      </c>
      <c r="I161" s="37">
        <f t="shared" si="133"/>
        <v>0</v>
      </c>
      <c r="J161" s="37">
        <f t="shared" si="134"/>
        <v>0</v>
      </c>
      <c r="K161" s="67" t="s">
        <v>327</v>
      </c>
      <c r="Z161" s="37">
        <f t="shared" si="135"/>
        <v>0</v>
      </c>
      <c r="AB161" s="37">
        <f t="shared" si="136"/>
        <v>0</v>
      </c>
      <c r="AC161" s="37">
        <f t="shared" si="137"/>
        <v>0</v>
      </c>
      <c r="AD161" s="37">
        <f t="shared" si="138"/>
        <v>0</v>
      </c>
      <c r="AE161" s="37">
        <f t="shared" si="139"/>
        <v>0</v>
      </c>
      <c r="AF161" s="37">
        <f t="shared" si="140"/>
        <v>0</v>
      </c>
      <c r="AG161" s="37">
        <f t="shared" si="141"/>
        <v>0</v>
      </c>
      <c r="AH161" s="37">
        <f t="shared" si="142"/>
        <v>0</v>
      </c>
      <c r="AI161" s="49" t="s">
        <v>89</v>
      </c>
      <c r="AJ161" s="37">
        <f t="shared" si="143"/>
        <v>0</v>
      </c>
      <c r="AK161" s="37">
        <f t="shared" si="144"/>
        <v>0</v>
      </c>
      <c r="AL161" s="37">
        <f t="shared" si="145"/>
        <v>0</v>
      </c>
      <c r="AN161" s="37">
        <v>21</v>
      </c>
      <c r="AO161" s="37">
        <f t="shared" si="146"/>
        <v>0</v>
      </c>
      <c r="AP161" s="37">
        <f t="shared" si="147"/>
        <v>0</v>
      </c>
      <c r="AQ161" s="68" t="s">
        <v>237</v>
      </c>
      <c r="AV161" s="37">
        <f t="shared" si="148"/>
        <v>0</v>
      </c>
      <c r="AW161" s="37">
        <f t="shared" si="149"/>
        <v>0</v>
      </c>
      <c r="AX161" s="37">
        <f t="shared" si="150"/>
        <v>0</v>
      </c>
      <c r="AY161" s="68" t="s">
        <v>582</v>
      </c>
      <c r="AZ161" s="68" t="s">
        <v>480</v>
      </c>
      <c r="BA161" s="49" t="s">
        <v>220</v>
      </c>
      <c r="BC161" s="37">
        <f t="shared" si="151"/>
        <v>0</v>
      </c>
      <c r="BD161" s="37">
        <f t="shared" si="152"/>
        <v>0</v>
      </c>
      <c r="BE161" s="37">
        <v>0</v>
      </c>
      <c r="BF161" s="37">
        <f>161</f>
        <v>161</v>
      </c>
      <c r="BH161" s="37">
        <f t="shared" si="153"/>
        <v>0</v>
      </c>
      <c r="BI161" s="37">
        <f t="shared" si="154"/>
        <v>0</v>
      </c>
      <c r="BJ161" s="37">
        <f t="shared" si="155"/>
        <v>0</v>
      </c>
      <c r="BK161" s="37"/>
      <c r="BL161" s="37">
        <v>728</v>
      </c>
      <c r="BW161" s="37">
        <v>21</v>
      </c>
      <c r="BX161" s="3" t="s">
        <v>604</v>
      </c>
    </row>
    <row r="162" spans="1:76" x14ac:dyDescent="0.25">
      <c r="A162" s="1" t="s">
        <v>605</v>
      </c>
      <c r="B162" s="2" t="s">
        <v>606</v>
      </c>
      <c r="C162" s="258" t="s">
        <v>607</v>
      </c>
      <c r="D162" s="259"/>
      <c r="E162" s="2" t="s">
        <v>504</v>
      </c>
      <c r="F162" s="37">
        <v>2</v>
      </c>
      <c r="G162" s="66">
        <v>0</v>
      </c>
      <c r="H162" s="37">
        <f t="shared" si="132"/>
        <v>0</v>
      </c>
      <c r="I162" s="37">
        <f t="shared" si="133"/>
        <v>0</v>
      </c>
      <c r="J162" s="37">
        <f t="shared" si="134"/>
        <v>0</v>
      </c>
      <c r="K162" s="67" t="s">
        <v>327</v>
      </c>
      <c r="Z162" s="37">
        <f t="shared" si="135"/>
        <v>0</v>
      </c>
      <c r="AB162" s="37">
        <f t="shared" si="136"/>
        <v>0</v>
      </c>
      <c r="AC162" s="37">
        <f t="shared" si="137"/>
        <v>0</v>
      </c>
      <c r="AD162" s="37">
        <f t="shared" si="138"/>
        <v>0</v>
      </c>
      <c r="AE162" s="37">
        <f t="shared" si="139"/>
        <v>0</v>
      </c>
      <c r="AF162" s="37">
        <f t="shared" si="140"/>
        <v>0</v>
      </c>
      <c r="AG162" s="37">
        <f t="shared" si="141"/>
        <v>0</v>
      </c>
      <c r="AH162" s="37">
        <f t="shared" si="142"/>
        <v>0</v>
      </c>
      <c r="AI162" s="49" t="s">
        <v>89</v>
      </c>
      <c r="AJ162" s="37">
        <f t="shared" si="143"/>
        <v>0</v>
      </c>
      <c r="AK162" s="37">
        <f t="shared" si="144"/>
        <v>0</v>
      </c>
      <c r="AL162" s="37">
        <f t="shared" si="145"/>
        <v>0</v>
      </c>
      <c r="AN162" s="37">
        <v>21</v>
      </c>
      <c r="AO162" s="37">
        <f t="shared" si="146"/>
        <v>0</v>
      </c>
      <c r="AP162" s="37">
        <f t="shared" si="147"/>
        <v>0</v>
      </c>
      <c r="AQ162" s="68" t="s">
        <v>237</v>
      </c>
      <c r="AV162" s="37">
        <f t="shared" si="148"/>
        <v>0</v>
      </c>
      <c r="AW162" s="37">
        <f t="shared" si="149"/>
        <v>0</v>
      </c>
      <c r="AX162" s="37">
        <f t="shared" si="150"/>
        <v>0</v>
      </c>
      <c r="AY162" s="68" t="s">
        <v>582</v>
      </c>
      <c r="AZ162" s="68" t="s">
        <v>480</v>
      </c>
      <c r="BA162" s="49" t="s">
        <v>220</v>
      </c>
      <c r="BC162" s="37">
        <f t="shared" si="151"/>
        <v>0</v>
      </c>
      <c r="BD162" s="37">
        <f t="shared" si="152"/>
        <v>0</v>
      </c>
      <c r="BE162" s="37">
        <v>0</v>
      </c>
      <c r="BF162" s="37">
        <f>162</f>
        <v>162</v>
      </c>
      <c r="BH162" s="37">
        <f t="shared" si="153"/>
        <v>0</v>
      </c>
      <c r="BI162" s="37">
        <f t="shared" si="154"/>
        <v>0</v>
      </c>
      <c r="BJ162" s="37">
        <f t="shared" si="155"/>
        <v>0</v>
      </c>
      <c r="BK162" s="37"/>
      <c r="BL162" s="37">
        <v>728</v>
      </c>
      <c r="BW162" s="37">
        <v>21</v>
      </c>
      <c r="BX162" s="3" t="s">
        <v>607</v>
      </c>
    </row>
    <row r="163" spans="1:76" x14ac:dyDescent="0.25">
      <c r="A163" s="1" t="s">
        <v>608</v>
      </c>
      <c r="B163" s="2" t="s">
        <v>609</v>
      </c>
      <c r="C163" s="258" t="s">
        <v>610</v>
      </c>
      <c r="D163" s="259"/>
      <c r="E163" s="2" t="s">
        <v>313</v>
      </c>
      <c r="F163" s="37">
        <v>6</v>
      </c>
      <c r="G163" s="66">
        <v>0</v>
      </c>
      <c r="H163" s="37">
        <f t="shared" si="132"/>
        <v>0</v>
      </c>
      <c r="I163" s="37">
        <f t="shared" si="133"/>
        <v>0</v>
      </c>
      <c r="J163" s="37">
        <f t="shared" si="134"/>
        <v>0</v>
      </c>
      <c r="K163" s="67" t="s">
        <v>611</v>
      </c>
      <c r="Z163" s="37">
        <f t="shared" si="135"/>
        <v>0</v>
      </c>
      <c r="AB163" s="37">
        <f t="shared" si="136"/>
        <v>0</v>
      </c>
      <c r="AC163" s="37">
        <f t="shared" si="137"/>
        <v>0</v>
      </c>
      <c r="AD163" s="37">
        <f t="shared" si="138"/>
        <v>0</v>
      </c>
      <c r="AE163" s="37">
        <f t="shared" si="139"/>
        <v>0</v>
      </c>
      <c r="AF163" s="37">
        <f t="shared" si="140"/>
        <v>0</v>
      </c>
      <c r="AG163" s="37">
        <f t="shared" si="141"/>
        <v>0</v>
      </c>
      <c r="AH163" s="37">
        <f t="shared" si="142"/>
        <v>0</v>
      </c>
      <c r="AI163" s="49" t="s">
        <v>89</v>
      </c>
      <c r="AJ163" s="37">
        <f t="shared" si="143"/>
        <v>0</v>
      </c>
      <c r="AK163" s="37">
        <f t="shared" si="144"/>
        <v>0</v>
      </c>
      <c r="AL163" s="37">
        <f t="shared" si="145"/>
        <v>0</v>
      </c>
      <c r="AN163" s="37">
        <v>21</v>
      </c>
      <c r="AO163" s="37">
        <f>G163*1</f>
        <v>0</v>
      </c>
      <c r="AP163" s="37">
        <f>G163*(1-1)</f>
        <v>0</v>
      </c>
      <c r="AQ163" s="68" t="s">
        <v>237</v>
      </c>
      <c r="AV163" s="37">
        <f t="shared" si="148"/>
        <v>0</v>
      </c>
      <c r="AW163" s="37">
        <f t="shared" si="149"/>
        <v>0</v>
      </c>
      <c r="AX163" s="37">
        <f t="shared" si="150"/>
        <v>0</v>
      </c>
      <c r="AY163" s="68" t="s">
        <v>582</v>
      </c>
      <c r="AZ163" s="68" t="s">
        <v>480</v>
      </c>
      <c r="BA163" s="49" t="s">
        <v>220</v>
      </c>
      <c r="BC163" s="37">
        <f t="shared" si="151"/>
        <v>0</v>
      </c>
      <c r="BD163" s="37">
        <f t="shared" si="152"/>
        <v>0</v>
      </c>
      <c r="BE163" s="37">
        <v>0</v>
      </c>
      <c r="BF163" s="37">
        <f>163</f>
        <v>163</v>
      </c>
      <c r="BH163" s="37">
        <f t="shared" si="153"/>
        <v>0</v>
      </c>
      <c r="BI163" s="37">
        <f t="shared" si="154"/>
        <v>0</v>
      </c>
      <c r="BJ163" s="37">
        <f t="shared" si="155"/>
        <v>0</v>
      </c>
      <c r="BK163" s="37"/>
      <c r="BL163" s="37">
        <v>728</v>
      </c>
      <c r="BW163" s="37">
        <v>21</v>
      </c>
      <c r="BX163" s="3" t="s">
        <v>610</v>
      </c>
    </row>
    <row r="164" spans="1:76" x14ac:dyDescent="0.25">
      <c r="A164" s="1" t="s">
        <v>612</v>
      </c>
      <c r="B164" s="2" t="s">
        <v>613</v>
      </c>
      <c r="C164" s="258" t="s">
        <v>614</v>
      </c>
      <c r="D164" s="259"/>
      <c r="E164" s="2" t="s">
        <v>313</v>
      </c>
      <c r="F164" s="37">
        <v>14</v>
      </c>
      <c r="G164" s="66">
        <v>0</v>
      </c>
      <c r="H164" s="37">
        <f t="shared" si="132"/>
        <v>0</v>
      </c>
      <c r="I164" s="37">
        <f t="shared" si="133"/>
        <v>0</v>
      </c>
      <c r="J164" s="37">
        <f t="shared" si="134"/>
        <v>0</v>
      </c>
      <c r="K164" s="67" t="s">
        <v>327</v>
      </c>
      <c r="Z164" s="37">
        <f t="shared" si="135"/>
        <v>0</v>
      </c>
      <c r="AB164" s="37">
        <f t="shared" si="136"/>
        <v>0</v>
      </c>
      <c r="AC164" s="37">
        <f t="shared" si="137"/>
        <v>0</v>
      </c>
      <c r="AD164" s="37">
        <f t="shared" si="138"/>
        <v>0</v>
      </c>
      <c r="AE164" s="37">
        <f t="shared" si="139"/>
        <v>0</v>
      </c>
      <c r="AF164" s="37">
        <f t="shared" si="140"/>
        <v>0</v>
      </c>
      <c r="AG164" s="37">
        <f t="shared" si="141"/>
        <v>0</v>
      </c>
      <c r="AH164" s="37">
        <f t="shared" si="142"/>
        <v>0</v>
      </c>
      <c r="AI164" s="49" t="s">
        <v>89</v>
      </c>
      <c r="AJ164" s="37">
        <f t="shared" si="143"/>
        <v>0</v>
      </c>
      <c r="AK164" s="37">
        <f t="shared" si="144"/>
        <v>0</v>
      </c>
      <c r="AL164" s="37">
        <f t="shared" si="145"/>
        <v>0</v>
      </c>
      <c r="AN164" s="37">
        <v>21</v>
      </c>
      <c r="AO164" s="37">
        <f>G164*1</f>
        <v>0</v>
      </c>
      <c r="AP164" s="37">
        <f>G164*(1-1)</f>
        <v>0</v>
      </c>
      <c r="AQ164" s="68" t="s">
        <v>237</v>
      </c>
      <c r="AV164" s="37">
        <f t="shared" si="148"/>
        <v>0</v>
      </c>
      <c r="AW164" s="37">
        <f t="shared" si="149"/>
        <v>0</v>
      </c>
      <c r="AX164" s="37">
        <f t="shared" si="150"/>
        <v>0</v>
      </c>
      <c r="AY164" s="68" t="s">
        <v>582</v>
      </c>
      <c r="AZ164" s="68" t="s">
        <v>480</v>
      </c>
      <c r="BA164" s="49" t="s">
        <v>220</v>
      </c>
      <c r="BC164" s="37">
        <f t="shared" si="151"/>
        <v>0</v>
      </c>
      <c r="BD164" s="37">
        <f t="shared" si="152"/>
        <v>0</v>
      </c>
      <c r="BE164" s="37">
        <v>0</v>
      </c>
      <c r="BF164" s="37">
        <f>164</f>
        <v>164</v>
      </c>
      <c r="BH164" s="37">
        <f t="shared" si="153"/>
        <v>0</v>
      </c>
      <c r="BI164" s="37">
        <f t="shared" si="154"/>
        <v>0</v>
      </c>
      <c r="BJ164" s="37">
        <f t="shared" si="155"/>
        <v>0</v>
      </c>
      <c r="BK164" s="37"/>
      <c r="BL164" s="37">
        <v>728</v>
      </c>
      <c r="BW164" s="37">
        <v>21</v>
      </c>
      <c r="BX164" s="3" t="s">
        <v>614</v>
      </c>
    </row>
    <row r="165" spans="1:76" x14ac:dyDescent="0.25">
      <c r="A165" s="1" t="s">
        <v>615</v>
      </c>
      <c r="B165" s="2" t="s">
        <v>616</v>
      </c>
      <c r="C165" s="258" t="s">
        <v>617</v>
      </c>
      <c r="D165" s="259"/>
      <c r="E165" s="2" t="s">
        <v>313</v>
      </c>
      <c r="F165" s="37">
        <v>7</v>
      </c>
      <c r="G165" s="66">
        <v>0</v>
      </c>
      <c r="H165" s="37">
        <f t="shared" si="132"/>
        <v>0</v>
      </c>
      <c r="I165" s="37">
        <f t="shared" si="133"/>
        <v>0</v>
      </c>
      <c r="J165" s="37">
        <f t="shared" si="134"/>
        <v>0</v>
      </c>
      <c r="K165" s="67" t="s">
        <v>327</v>
      </c>
      <c r="Z165" s="37">
        <f t="shared" si="135"/>
        <v>0</v>
      </c>
      <c r="AB165" s="37">
        <f t="shared" si="136"/>
        <v>0</v>
      </c>
      <c r="AC165" s="37">
        <f t="shared" si="137"/>
        <v>0</v>
      </c>
      <c r="AD165" s="37">
        <f t="shared" si="138"/>
        <v>0</v>
      </c>
      <c r="AE165" s="37">
        <f t="shared" si="139"/>
        <v>0</v>
      </c>
      <c r="AF165" s="37">
        <f t="shared" si="140"/>
        <v>0</v>
      </c>
      <c r="AG165" s="37">
        <f t="shared" si="141"/>
        <v>0</v>
      </c>
      <c r="AH165" s="37">
        <f t="shared" si="142"/>
        <v>0</v>
      </c>
      <c r="AI165" s="49" t="s">
        <v>89</v>
      </c>
      <c r="AJ165" s="37">
        <f t="shared" si="143"/>
        <v>0</v>
      </c>
      <c r="AK165" s="37">
        <f t="shared" si="144"/>
        <v>0</v>
      </c>
      <c r="AL165" s="37">
        <f t="shared" si="145"/>
        <v>0</v>
      </c>
      <c r="AN165" s="37">
        <v>21</v>
      </c>
      <c r="AO165" s="37">
        <f>G165*1</f>
        <v>0</v>
      </c>
      <c r="AP165" s="37">
        <f>G165*(1-1)</f>
        <v>0</v>
      </c>
      <c r="AQ165" s="68" t="s">
        <v>237</v>
      </c>
      <c r="AV165" s="37">
        <f t="shared" si="148"/>
        <v>0</v>
      </c>
      <c r="AW165" s="37">
        <f t="shared" si="149"/>
        <v>0</v>
      </c>
      <c r="AX165" s="37">
        <f t="shared" si="150"/>
        <v>0</v>
      </c>
      <c r="AY165" s="68" t="s">
        <v>582</v>
      </c>
      <c r="AZ165" s="68" t="s">
        <v>480</v>
      </c>
      <c r="BA165" s="49" t="s">
        <v>220</v>
      </c>
      <c r="BC165" s="37">
        <f t="shared" si="151"/>
        <v>0</v>
      </c>
      <c r="BD165" s="37">
        <f t="shared" si="152"/>
        <v>0</v>
      </c>
      <c r="BE165" s="37">
        <v>0</v>
      </c>
      <c r="BF165" s="37">
        <f>165</f>
        <v>165</v>
      </c>
      <c r="BH165" s="37">
        <f t="shared" si="153"/>
        <v>0</v>
      </c>
      <c r="BI165" s="37">
        <f t="shared" si="154"/>
        <v>0</v>
      </c>
      <c r="BJ165" s="37">
        <f t="shared" si="155"/>
        <v>0</v>
      </c>
      <c r="BK165" s="37"/>
      <c r="BL165" s="37">
        <v>728</v>
      </c>
      <c r="BW165" s="37">
        <v>21</v>
      </c>
      <c r="BX165" s="3" t="s">
        <v>617</v>
      </c>
    </row>
    <row r="166" spans="1:76" x14ac:dyDescent="0.25">
      <c r="A166" s="1" t="s">
        <v>618</v>
      </c>
      <c r="B166" s="2" t="s">
        <v>619</v>
      </c>
      <c r="C166" s="258" t="s">
        <v>620</v>
      </c>
      <c r="D166" s="259"/>
      <c r="E166" s="2" t="s">
        <v>251</v>
      </c>
      <c r="F166" s="37">
        <v>15</v>
      </c>
      <c r="G166" s="66">
        <v>0</v>
      </c>
      <c r="H166" s="37">
        <f t="shared" si="132"/>
        <v>0</v>
      </c>
      <c r="I166" s="37">
        <f t="shared" si="133"/>
        <v>0</v>
      </c>
      <c r="J166" s="37">
        <f t="shared" si="134"/>
        <v>0</v>
      </c>
      <c r="K166" s="67" t="s">
        <v>327</v>
      </c>
      <c r="Z166" s="37">
        <f t="shared" si="135"/>
        <v>0</v>
      </c>
      <c r="AB166" s="37">
        <f t="shared" si="136"/>
        <v>0</v>
      </c>
      <c r="AC166" s="37">
        <f t="shared" si="137"/>
        <v>0</v>
      </c>
      <c r="AD166" s="37">
        <f t="shared" si="138"/>
        <v>0</v>
      </c>
      <c r="AE166" s="37">
        <f t="shared" si="139"/>
        <v>0</v>
      </c>
      <c r="AF166" s="37">
        <f t="shared" si="140"/>
        <v>0</v>
      </c>
      <c r="AG166" s="37">
        <f t="shared" si="141"/>
        <v>0</v>
      </c>
      <c r="AH166" s="37">
        <f t="shared" si="142"/>
        <v>0</v>
      </c>
      <c r="AI166" s="49" t="s">
        <v>89</v>
      </c>
      <c r="AJ166" s="37">
        <f t="shared" si="143"/>
        <v>0</v>
      </c>
      <c r="AK166" s="37">
        <f t="shared" si="144"/>
        <v>0</v>
      </c>
      <c r="AL166" s="37">
        <f t="shared" si="145"/>
        <v>0</v>
      </c>
      <c r="AN166" s="37">
        <v>21</v>
      </c>
      <c r="AO166" s="37">
        <f>G166*1</f>
        <v>0</v>
      </c>
      <c r="AP166" s="37">
        <f>G166*(1-1)</f>
        <v>0</v>
      </c>
      <c r="AQ166" s="68" t="s">
        <v>237</v>
      </c>
      <c r="AV166" s="37">
        <f t="shared" si="148"/>
        <v>0</v>
      </c>
      <c r="AW166" s="37">
        <f t="shared" si="149"/>
        <v>0</v>
      </c>
      <c r="AX166" s="37">
        <f t="shared" si="150"/>
        <v>0</v>
      </c>
      <c r="AY166" s="68" t="s">
        <v>582</v>
      </c>
      <c r="AZ166" s="68" t="s">
        <v>480</v>
      </c>
      <c r="BA166" s="49" t="s">
        <v>220</v>
      </c>
      <c r="BC166" s="37">
        <f t="shared" si="151"/>
        <v>0</v>
      </c>
      <c r="BD166" s="37">
        <f t="shared" si="152"/>
        <v>0</v>
      </c>
      <c r="BE166" s="37">
        <v>0</v>
      </c>
      <c r="BF166" s="37">
        <f>166</f>
        <v>166</v>
      </c>
      <c r="BH166" s="37">
        <f t="shared" si="153"/>
        <v>0</v>
      </c>
      <c r="BI166" s="37">
        <f t="shared" si="154"/>
        <v>0</v>
      </c>
      <c r="BJ166" s="37">
        <f t="shared" si="155"/>
        <v>0</v>
      </c>
      <c r="BK166" s="37"/>
      <c r="BL166" s="37">
        <v>728</v>
      </c>
      <c r="BW166" s="37">
        <v>21</v>
      </c>
      <c r="BX166" s="3" t="s">
        <v>620</v>
      </c>
    </row>
    <row r="167" spans="1:76" x14ac:dyDescent="0.25">
      <c r="A167" s="1" t="s">
        <v>621</v>
      </c>
      <c r="B167" s="2" t="s">
        <v>622</v>
      </c>
      <c r="C167" s="258" t="s">
        <v>623</v>
      </c>
      <c r="D167" s="259"/>
      <c r="E167" s="2" t="s">
        <v>624</v>
      </c>
      <c r="F167" s="37">
        <v>5</v>
      </c>
      <c r="G167" s="66">
        <v>0</v>
      </c>
      <c r="H167" s="37">
        <f t="shared" si="132"/>
        <v>0</v>
      </c>
      <c r="I167" s="37">
        <f t="shared" si="133"/>
        <v>0</v>
      </c>
      <c r="J167" s="37">
        <f t="shared" si="134"/>
        <v>0</v>
      </c>
      <c r="K167" s="67" t="s">
        <v>327</v>
      </c>
      <c r="Z167" s="37">
        <f t="shared" si="135"/>
        <v>0</v>
      </c>
      <c r="AB167" s="37">
        <f t="shared" si="136"/>
        <v>0</v>
      </c>
      <c r="AC167" s="37">
        <f t="shared" si="137"/>
        <v>0</v>
      </c>
      <c r="AD167" s="37">
        <f t="shared" si="138"/>
        <v>0</v>
      </c>
      <c r="AE167" s="37">
        <f t="shared" si="139"/>
        <v>0</v>
      </c>
      <c r="AF167" s="37">
        <f t="shared" si="140"/>
        <v>0</v>
      </c>
      <c r="AG167" s="37">
        <f t="shared" si="141"/>
        <v>0</v>
      </c>
      <c r="AH167" s="37">
        <f t="shared" si="142"/>
        <v>0</v>
      </c>
      <c r="AI167" s="49" t="s">
        <v>89</v>
      </c>
      <c r="AJ167" s="37">
        <f t="shared" si="143"/>
        <v>0</v>
      </c>
      <c r="AK167" s="37">
        <f t="shared" si="144"/>
        <v>0</v>
      </c>
      <c r="AL167" s="37">
        <f t="shared" si="145"/>
        <v>0</v>
      </c>
      <c r="AN167" s="37">
        <v>21</v>
      </c>
      <c r="AO167" s="37">
        <f t="shared" ref="AO167:AO172" si="156">G167*0</f>
        <v>0</v>
      </c>
      <c r="AP167" s="37">
        <f t="shared" ref="AP167:AP172" si="157">G167*(1-0)</f>
        <v>0</v>
      </c>
      <c r="AQ167" s="68" t="s">
        <v>237</v>
      </c>
      <c r="AV167" s="37">
        <f t="shared" si="148"/>
        <v>0</v>
      </c>
      <c r="AW167" s="37">
        <f t="shared" si="149"/>
        <v>0</v>
      </c>
      <c r="AX167" s="37">
        <f t="shared" si="150"/>
        <v>0</v>
      </c>
      <c r="AY167" s="68" t="s">
        <v>582</v>
      </c>
      <c r="AZ167" s="68" t="s">
        <v>480</v>
      </c>
      <c r="BA167" s="49" t="s">
        <v>220</v>
      </c>
      <c r="BC167" s="37">
        <f t="shared" si="151"/>
        <v>0</v>
      </c>
      <c r="BD167" s="37">
        <f t="shared" si="152"/>
        <v>0</v>
      </c>
      <c r="BE167" s="37">
        <v>0</v>
      </c>
      <c r="BF167" s="37">
        <f>167</f>
        <v>167</v>
      </c>
      <c r="BH167" s="37">
        <f t="shared" si="153"/>
        <v>0</v>
      </c>
      <c r="BI167" s="37">
        <f t="shared" si="154"/>
        <v>0</v>
      </c>
      <c r="BJ167" s="37">
        <f t="shared" si="155"/>
        <v>0</v>
      </c>
      <c r="BK167" s="37"/>
      <c r="BL167" s="37">
        <v>728</v>
      </c>
      <c r="BW167" s="37">
        <v>21</v>
      </c>
      <c r="BX167" s="3" t="s">
        <v>623</v>
      </c>
    </row>
    <row r="168" spans="1:76" x14ac:dyDescent="0.25">
      <c r="A168" s="1" t="s">
        <v>625</v>
      </c>
      <c r="B168" s="2" t="s">
        <v>626</v>
      </c>
      <c r="C168" s="258" t="s">
        <v>627</v>
      </c>
      <c r="D168" s="259"/>
      <c r="E168" s="2" t="s">
        <v>63</v>
      </c>
      <c r="F168" s="37">
        <v>5</v>
      </c>
      <c r="G168" s="66">
        <v>0</v>
      </c>
      <c r="H168" s="37">
        <f t="shared" si="132"/>
        <v>0</v>
      </c>
      <c r="I168" s="37">
        <f t="shared" si="133"/>
        <v>0</v>
      </c>
      <c r="J168" s="37">
        <f t="shared" si="134"/>
        <v>0</v>
      </c>
      <c r="K168" s="67" t="s">
        <v>327</v>
      </c>
      <c r="Z168" s="37">
        <f t="shared" si="135"/>
        <v>0</v>
      </c>
      <c r="AB168" s="37">
        <f t="shared" si="136"/>
        <v>0</v>
      </c>
      <c r="AC168" s="37">
        <f t="shared" si="137"/>
        <v>0</v>
      </c>
      <c r="AD168" s="37">
        <f t="shared" si="138"/>
        <v>0</v>
      </c>
      <c r="AE168" s="37">
        <f t="shared" si="139"/>
        <v>0</v>
      </c>
      <c r="AF168" s="37">
        <f t="shared" si="140"/>
        <v>0</v>
      </c>
      <c r="AG168" s="37">
        <f t="shared" si="141"/>
        <v>0</v>
      </c>
      <c r="AH168" s="37">
        <f t="shared" si="142"/>
        <v>0</v>
      </c>
      <c r="AI168" s="49" t="s">
        <v>89</v>
      </c>
      <c r="AJ168" s="37">
        <f t="shared" si="143"/>
        <v>0</v>
      </c>
      <c r="AK168" s="37">
        <f t="shared" si="144"/>
        <v>0</v>
      </c>
      <c r="AL168" s="37">
        <f t="shared" si="145"/>
        <v>0</v>
      </c>
      <c r="AN168" s="37">
        <v>21</v>
      </c>
      <c r="AO168" s="37">
        <f t="shared" si="156"/>
        <v>0</v>
      </c>
      <c r="AP168" s="37">
        <f t="shared" si="157"/>
        <v>0</v>
      </c>
      <c r="AQ168" s="68" t="s">
        <v>237</v>
      </c>
      <c r="AV168" s="37">
        <f t="shared" si="148"/>
        <v>0</v>
      </c>
      <c r="AW168" s="37">
        <f t="shared" si="149"/>
        <v>0</v>
      </c>
      <c r="AX168" s="37">
        <f t="shared" si="150"/>
        <v>0</v>
      </c>
      <c r="AY168" s="68" t="s">
        <v>582</v>
      </c>
      <c r="AZ168" s="68" t="s">
        <v>480</v>
      </c>
      <c r="BA168" s="49" t="s">
        <v>220</v>
      </c>
      <c r="BC168" s="37">
        <f t="shared" si="151"/>
        <v>0</v>
      </c>
      <c r="BD168" s="37">
        <f t="shared" si="152"/>
        <v>0</v>
      </c>
      <c r="BE168" s="37">
        <v>0</v>
      </c>
      <c r="BF168" s="37">
        <f>168</f>
        <v>168</v>
      </c>
      <c r="BH168" s="37">
        <f t="shared" si="153"/>
        <v>0</v>
      </c>
      <c r="BI168" s="37">
        <f t="shared" si="154"/>
        <v>0</v>
      </c>
      <c r="BJ168" s="37">
        <f t="shared" si="155"/>
        <v>0</v>
      </c>
      <c r="BK168" s="37"/>
      <c r="BL168" s="37">
        <v>728</v>
      </c>
      <c r="BW168" s="37">
        <v>21</v>
      </c>
      <c r="BX168" s="3" t="s">
        <v>627</v>
      </c>
    </row>
    <row r="169" spans="1:76" x14ac:dyDescent="0.25">
      <c r="A169" s="1" t="s">
        <v>628</v>
      </c>
      <c r="B169" s="2" t="s">
        <v>629</v>
      </c>
      <c r="C169" s="258" t="s">
        <v>630</v>
      </c>
      <c r="D169" s="259"/>
      <c r="E169" s="2" t="s">
        <v>63</v>
      </c>
      <c r="F169" s="37">
        <v>35</v>
      </c>
      <c r="G169" s="66">
        <v>0</v>
      </c>
      <c r="H169" s="37">
        <f t="shared" si="132"/>
        <v>0</v>
      </c>
      <c r="I169" s="37">
        <f t="shared" si="133"/>
        <v>0</v>
      </c>
      <c r="J169" s="37">
        <f t="shared" si="134"/>
        <v>0</v>
      </c>
      <c r="K169" s="67" t="s">
        <v>327</v>
      </c>
      <c r="Z169" s="37">
        <f t="shared" si="135"/>
        <v>0</v>
      </c>
      <c r="AB169" s="37">
        <f t="shared" si="136"/>
        <v>0</v>
      </c>
      <c r="AC169" s="37">
        <f t="shared" si="137"/>
        <v>0</v>
      </c>
      <c r="AD169" s="37">
        <f t="shared" si="138"/>
        <v>0</v>
      </c>
      <c r="AE169" s="37">
        <f t="shared" si="139"/>
        <v>0</v>
      </c>
      <c r="AF169" s="37">
        <f t="shared" si="140"/>
        <v>0</v>
      </c>
      <c r="AG169" s="37">
        <f t="shared" si="141"/>
        <v>0</v>
      </c>
      <c r="AH169" s="37">
        <f t="shared" si="142"/>
        <v>0</v>
      </c>
      <c r="AI169" s="49" t="s">
        <v>89</v>
      </c>
      <c r="AJ169" s="37">
        <f t="shared" si="143"/>
        <v>0</v>
      </c>
      <c r="AK169" s="37">
        <f t="shared" si="144"/>
        <v>0</v>
      </c>
      <c r="AL169" s="37">
        <f t="shared" si="145"/>
        <v>0</v>
      </c>
      <c r="AN169" s="37">
        <v>21</v>
      </c>
      <c r="AO169" s="37">
        <f t="shared" si="156"/>
        <v>0</v>
      </c>
      <c r="AP169" s="37">
        <f t="shared" si="157"/>
        <v>0</v>
      </c>
      <c r="AQ169" s="68" t="s">
        <v>237</v>
      </c>
      <c r="AV169" s="37">
        <f t="shared" si="148"/>
        <v>0</v>
      </c>
      <c r="AW169" s="37">
        <f t="shared" si="149"/>
        <v>0</v>
      </c>
      <c r="AX169" s="37">
        <f t="shared" si="150"/>
        <v>0</v>
      </c>
      <c r="AY169" s="68" t="s">
        <v>582</v>
      </c>
      <c r="AZ169" s="68" t="s">
        <v>480</v>
      </c>
      <c r="BA169" s="49" t="s">
        <v>220</v>
      </c>
      <c r="BC169" s="37">
        <f t="shared" si="151"/>
        <v>0</v>
      </c>
      <c r="BD169" s="37">
        <f t="shared" si="152"/>
        <v>0</v>
      </c>
      <c r="BE169" s="37">
        <v>0</v>
      </c>
      <c r="BF169" s="37">
        <f>169</f>
        <v>169</v>
      </c>
      <c r="BH169" s="37">
        <f t="shared" si="153"/>
        <v>0</v>
      </c>
      <c r="BI169" s="37">
        <f t="shared" si="154"/>
        <v>0</v>
      </c>
      <c r="BJ169" s="37">
        <f t="shared" si="155"/>
        <v>0</v>
      </c>
      <c r="BK169" s="37"/>
      <c r="BL169" s="37">
        <v>728</v>
      </c>
      <c r="BW169" s="37">
        <v>21</v>
      </c>
      <c r="BX169" s="3" t="s">
        <v>630</v>
      </c>
    </row>
    <row r="170" spans="1:76" x14ac:dyDescent="0.25">
      <c r="A170" s="1" t="s">
        <v>631</v>
      </c>
      <c r="B170" s="2" t="s">
        <v>632</v>
      </c>
      <c r="C170" s="258" t="s">
        <v>633</v>
      </c>
      <c r="D170" s="259"/>
      <c r="E170" s="2" t="s">
        <v>63</v>
      </c>
      <c r="F170" s="37">
        <v>5</v>
      </c>
      <c r="G170" s="66">
        <v>0</v>
      </c>
      <c r="H170" s="37">
        <f t="shared" si="132"/>
        <v>0</v>
      </c>
      <c r="I170" s="37">
        <f t="shared" si="133"/>
        <v>0</v>
      </c>
      <c r="J170" s="37">
        <f t="shared" si="134"/>
        <v>0</v>
      </c>
      <c r="K170" s="67" t="s">
        <v>327</v>
      </c>
      <c r="Z170" s="37">
        <f t="shared" si="135"/>
        <v>0</v>
      </c>
      <c r="AB170" s="37">
        <f t="shared" si="136"/>
        <v>0</v>
      </c>
      <c r="AC170" s="37">
        <f t="shared" si="137"/>
        <v>0</v>
      </c>
      <c r="AD170" s="37">
        <f t="shared" si="138"/>
        <v>0</v>
      </c>
      <c r="AE170" s="37">
        <f t="shared" si="139"/>
        <v>0</v>
      </c>
      <c r="AF170" s="37">
        <f t="shared" si="140"/>
        <v>0</v>
      </c>
      <c r="AG170" s="37">
        <f t="shared" si="141"/>
        <v>0</v>
      </c>
      <c r="AH170" s="37">
        <f t="shared" si="142"/>
        <v>0</v>
      </c>
      <c r="AI170" s="49" t="s">
        <v>89</v>
      </c>
      <c r="AJ170" s="37">
        <f t="shared" si="143"/>
        <v>0</v>
      </c>
      <c r="AK170" s="37">
        <f t="shared" si="144"/>
        <v>0</v>
      </c>
      <c r="AL170" s="37">
        <f t="shared" si="145"/>
        <v>0</v>
      </c>
      <c r="AN170" s="37">
        <v>21</v>
      </c>
      <c r="AO170" s="37">
        <f t="shared" si="156"/>
        <v>0</v>
      </c>
      <c r="AP170" s="37">
        <f t="shared" si="157"/>
        <v>0</v>
      </c>
      <c r="AQ170" s="68" t="s">
        <v>237</v>
      </c>
      <c r="AV170" s="37">
        <f t="shared" si="148"/>
        <v>0</v>
      </c>
      <c r="AW170" s="37">
        <f t="shared" si="149"/>
        <v>0</v>
      </c>
      <c r="AX170" s="37">
        <f t="shared" si="150"/>
        <v>0</v>
      </c>
      <c r="AY170" s="68" t="s">
        <v>582</v>
      </c>
      <c r="AZ170" s="68" t="s">
        <v>480</v>
      </c>
      <c r="BA170" s="49" t="s">
        <v>220</v>
      </c>
      <c r="BC170" s="37">
        <f t="shared" si="151"/>
        <v>0</v>
      </c>
      <c r="BD170" s="37">
        <f t="shared" si="152"/>
        <v>0</v>
      </c>
      <c r="BE170" s="37">
        <v>0</v>
      </c>
      <c r="BF170" s="37">
        <f>170</f>
        <v>170</v>
      </c>
      <c r="BH170" s="37">
        <f t="shared" si="153"/>
        <v>0</v>
      </c>
      <c r="BI170" s="37">
        <f t="shared" si="154"/>
        <v>0</v>
      </c>
      <c r="BJ170" s="37">
        <f t="shared" si="155"/>
        <v>0</v>
      </c>
      <c r="BK170" s="37"/>
      <c r="BL170" s="37">
        <v>728</v>
      </c>
      <c r="BW170" s="37">
        <v>21</v>
      </c>
      <c r="BX170" s="3" t="s">
        <v>633</v>
      </c>
    </row>
    <row r="171" spans="1:76" x14ac:dyDescent="0.25">
      <c r="A171" s="1" t="s">
        <v>634</v>
      </c>
      <c r="B171" s="2" t="s">
        <v>635</v>
      </c>
      <c r="C171" s="258" t="s">
        <v>636</v>
      </c>
      <c r="D171" s="259"/>
      <c r="E171" s="2" t="s">
        <v>637</v>
      </c>
      <c r="F171" s="37">
        <v>2</v>
      </c>
      <c r="G171" s="66">
        <v>0</v>
      </c>
      <c r="H171" s="37">
        <f t="shared" si="132"/>
        <v>0</v>
      </c>
      <c r="I171" s="37">
        <f t="shared" si="133"/>
        <v>0</v>
      </c>
      <c r="J171" s="37">
        <f t="shared" si="134"/>
        <v>0</v>
      </c>
      <c r="K171" s="67" t="s">
        <v>327</v>
      </c>
      <c r="Z171" s="37">
        <f t="shared" si="135"/>
        <v>0</v>
      </c>
      <c r="AB171" s="37">
        <f t="shared" si="136"/>
        <v>0</v>
      </c>
      <c r="AC171" s="37">
        <f t="shared" si="137"/>
        <v>0</v>
      </c>
      <c r="AD171" s="37">
        <f t="shared" si="138"/>
        <v>0</v>
      </c>
      <c r="AE171" s="37">
        <f t="shared" si="139"/>
        <v>0</v>
      </c>
      <c r="AF171" s="37">
        <f t="shared" si="140"/>
        <v>0</v>
      </c>
      <c r="AG171" s="37">
        <f t="shared" si="141"/>
        <v>0</v>
      </c>
      <c r="AH171" s="37">
        <f t="shared" si="142"/>
        <v>0</v>
      </c>
      <c r="AI171" s="49" t="s">
        <v>89</v>
      </c>
      <c r="AJ171" s="37">
        <f t="shared" si="143"/>
        <v>0</v>
      </c>
      <c r="AK171" s="37">
        <f t="shared" si="144"/>
        <v>0</v>
      </c>
      <c r="AL171" s="37">
        <f t="shared" si="145"/>
        <v>0</v>
      </c>
      <c r="AN171" s="37">
        <v>21</v>
      </c>
      <c r="AO171" s="37">
        <f t="shared" si="156"/>
        <v>0</v>
      </c>
      <c r="AP171" s="37">
        <f t="shared" si="157"/>
        <v>0</v>
      </c>
      <c r="AQ171" s="68" t="s">
        <v>237</v>
      </c>
      <c r="AV171" s="37">
        <f t="shared" si="148"/>
        <v>0</v>
      </c>
      <c r="AW171" s="37">
        <f t="shared" si="149"/>
        <v>0</v>
      </c>
      <c r="AX171" s="37">
        <f t="shared" si="150"/>
        <v>0</v>
      </c>
      <c r="AY171" s="68" t="s">
        <v>582</v>
      </c>
      <c r="AZ171" s="68" t="s">
        <v>480</v>
      </c>
      <c r="BA171" s="49" t="s">
        <v>220</v>
      </c>
      <c r="BC171" s="37">
        <f t="shared" si="151"/>
        <v>0</v>
      </c>
      <c r="BD171" s="37">
        <f t="shared" si="152"/>
        <v>0</v>
      </c>
      <c r="BE171" s="37">
        <v>0</v>
      </c>
      <c r="BF171" s="37">
        <f>171</f>
        <v>171</v>
      </c>
      <c r="BH171" s="37">
        <f t="shared" si="153"/>
        <v>0</v>
      </c>
      <c r="BI171" s="37">
        <f t="shared" si="154"/>
        <v>0</v>
      </c>
      <c r="BJ171" s="37">
        <f t="shared" si="155"/>
        <v>0</v>
      </c>
      <c r="BK171" s="37"/>
      <c r="BL171" s="37">
        <v>728</v>
      </c>
      <c r="BW171" s="37">
        <v>21</v>
      </c>
      <c r="BX171" s="3" t="s">
        <v>636</v>
      </c>
    </row>
    <row r="172" spans="1:76" x14ac:dyDescent="0.25">
      <c r="A172" s="1" t="s">
        <v>638</v>
      </c>
      <c r="B172" s="2" t="s">
        <v>639</v>
      </c>
      <c r="C172" s="258" t="s">
        <v>640</v>
      </c>
      <c r="D172" s="259"/>
      <c r="E172" s="2" t="s">
        <v>637</v>
      </c>
      <c r="F172" s="37">
        <v>0.5</v>
      </c>
      <c r="G172" s="66">
        <v>0</v>
      </c>
      <c r="H172" s="37">
        <f t="shared" si="132"/>
        <v>0</v>
      </c>
      <c r="I172" s="37">
        <f t="shared" si="133"/>
        <v>0</v>
      </c>
      <c r="J172" s="37">
        <f t="shared" si="134"/>
        <v>0</v>
      </c>
      <c r="K172" s="67" t="s">
        <v>327</v>
      </c>
      <c r="Z172" s="37">
        <f t="shared" si="135"/>
        <v>0</v>
      </c>
      <c r="AB172" s="37">
        <f t="shared" si="136"/>
        <v>0</v>
      </c>
      <c r="AC172" s="37">
        <f t="shared" si="137"/>
        <v>0</v>
      </c>
      <c r="AD172" s="37">
        <f t="shared" si="138"/>
        <v>0</v>
      </c>
      <c r="AE172" s="37">
        <f t="shared" si="139"/>
        <v>0</v>
      </c>
      <c r="AF172" s="37">
        <f t="shared" si="140"/>
        <v>0</v>
      </c>
      <c r="AG172" s="37">
        <f t="shared" si="141"/>
        <v>0</v>
      </c>
      <c r="AH172" s="37">
        <f t="shared" si="142"/>
        <v>0</v>
      </c>
      <c r="AI172" s="49" t="s">
        <v>89</v>
      </c>
      <c r="AJ172" s="37">
        <f t="shared" si="143"/>
        <v>0</v>
      </c>
      <c r="AK172" s="37">
        <f t="shared" si="144"/>
        <v>0</v>
      </c>
      <c r="AL172" s="37">
        <f t="shared" si="145"/>
        <v>0</v>
      </c>
      <c r="AN172" s="37">
        <v>21</v>
      </c>
      <c r="AO172" s="37">
        <f t="shared" si="156"/>
        <v>0</v>
      </c>
      <c r="AP172" s="37">
        <f t="shared" si="157"/>
        <v>0</v>
      </c>
      <c r="AQ172" s="68" t="s">
        <v>237</v>
      </c>
      <c r="AV172" s="37">
        <f t="shared" si="148"/>
        <v>0</v>
      </c>
      <c r="AW172" s="37">
        <f t="shared" si="149"/>
        <v>0</v>
      </c>
      <c r="AX172" s="37">
        <f t="shared" si="150"/>
        <v>0</v>
      </c>
      <c r="AY172" s="68" t="s">
        <v>582</v>
      </c>
      <c r="AZ172" s="68" t="s">
        <v>480</v>
      </c>
      <c r="BA172" s="49" t="s">
        <v>220</v>
      </c>
      <c r="BC172" s="37">
        <f t="shared" si="151"/>
        <v>0</v>
      </c>
      <c r="BD172" s="37">
        <f t="shared" si="152"/>
        <v>0</v>
      </c>
      <c r="BE172" s="37">
        <v>0</v>
      </c>
      <c r="BF172" s="37">
        <f>172</f>
        <v>172</v>
      </c>
      <c r="BH172" s="37">
        <f t="shared" si="153"/>
        <v>0</v>
      </c>
      <c r="BI172" s="37">
        <f t="shared" si="154"/>
        <v>0</v>
      </c>
      <c r="BJ172" s="37">
        <f t="shared" si="155"/>
        <v>0</v>
      </c>
      <c r="BK172" s="37"/>
      <c r="BL172" s="37">
        <v>728</v>
      </c>
      <c r="BW172" s="37">
        <v>21</v>
      </c>
      <c r="BX172" s="3" t="s">
        <v>640</v>
      </c>
    </row>
    <row r="173" spans="1:76" x14ac:dyDescent="0.25">
      <c r="A173" s="61" t="s">
        <v>4</v>
      </c>
      <c r="B173" s="62" t="s">
        <v>139</v>
      </c>
      <c r="C173" s="343" t="s">
        <v>140</v>
      </c>
      <c r="D173" s="344"/>
      <c r="E173" s="63" t="s">
        <v>81</v>
      </c>
      <c r="F173" s="63" t="s">
        <v>81</v>
      </c>
      <c r="G173" s="64" t="s">
        <v>81</v>
      </c>
      <c r="H173" s="43">
        <f>SUM(H174:H177)</f>
        <v>0</v>
      </c>
      <c r="I173" s="43">
        <f>SUM(I174:I177)</f>
        <v>0</v>
      </c>
      <c r="J173" s="43">
        <f>SUM(J174:J177)</f>
        <v>0</v>
      </c>
      <c r="K173" s="65" t="s">
        <v>4</v>
      </c>
      <c r="AI173" s="49" t="s">
        <v>89</v>
      </c>
      <c r="AS173" s="43">
        <f>SUM(AJ174:AJ177)</f>
        <v>0</v>
      </c>
      <c r="AT173" s="43">
        <f>SUM(AK174:AK177)</f>
        <v>0</v>
      </c>
      <c r="AU173" s="43">
        <f>SUM(AL174:AL177)</f>
        <v>0</v>
      </c>
    </row>
    <row r="174" spans="1:76" x14ac:dyDescent="0.25">
      <c r="A174" s="1" t="s">
        <v>641</v>
      </c>
      <c r="B174" s="2" t="s">
        <v>642</v>
      </c>
      <c r="C174" s="258" t="s">
        <v>643</v>
      </c>
      <c r="D174" s="259"/>
      <c r="E174" s="2" t="s">
        <v>644</v>
      </c>
      <c r="F174" s="37">
        <v>1</v>
      </c>
      <c r="G174" s="66">
        <f>BYT!G32</f>
        <v>0</v>
      </c>
      <c r="H174" s="37">
        <f>F174*AO174</f>
        <v>0</v>
      </c>
      <c r="I174" s="37">
        <f>F174*AP174</f>
        <v>0</v>
      </c>
      <c r="J174" s="37">
        <f>F174*G174</f>
        <v>0</v>
      </c>
      <c r="K174" s="67" t="s">
        <v>327</v>
      </c>
      <c r="Z174" s="37">
        <f>IF(AQ174="5",BJ174,0)</f>
        <v>0</v>
      </c>
      <c r="AB174" s="37">
        <f>IF(AQ174="1",BH174,0)</f>
        <v>0</v>
      </c>
      <c r="AC174" s="37">
        <f>IF(AQ174="1",BI174,0)</f>
        <v>0</v>
      </c>
      <c r="AD174" s="37">
        <f>IF(AQ174="7",BH174,0)</f>
        <v>0</v>
      </c>
      <c r="AE174" s="37">
        <f>IF(AQ174="7",BI174,0)</f>
        <v>0</v>
      </c>
      <c r="AF174" s="37">
        <f>IF(AQ174="2",BH174,0)</f>
        <v>0</v>
      </c>
      <c r="AG174" s="37">
        <f>IF(AQ174="2",BI174,0)</f>
        <v>0</v>
      </c>
      <c r="AH174" s="37">
        <f>IF(AQ174="0",BJ174,0)</f>
        <v>0</v>
      </c>
      <c r="AI174" s="49" t="s">
        <v>89</v>
      </c>
      <c r="AJ174" s="37">
        <f>IF(AN174=0,J174,0)</f>
        <v>0</v>
      </c>
      <c r="AK174" s="37">
        <f>IF(AN174=12,J174,0)</f>
        <v>0</v>
      </c>
      <c r="AL174" s="37">
        <f>IF(AN174=21,J174,0)</f>
        <v>0</v>
      </c>
      <c r="AN174" s="37">
        <v>21</v>
      </c>
      <c r="AO174" s="37">
        <f>G174*0</f>
        <v>0</v>
      </c>
      <c r="AP174" s="37">
        <f>G174*(1-0)</f>
        <v>0</v>
      </c>
      <c r="AQ174" s="68" t="s">
        <v>237</v>
      </c>
      <c r="AV174" s="37">
        <f>AW174+AX174</f>
        <v>0</v>
      </c>
      <c r="AW174" s="37">
        <f>F174*AO174</f>
        <v>0</v>
      </c>
      <c r="AX174" s="37">
        <f>F174*AP174</f>
        <v>0</v>
      </c>
      <c r="AY174" s="68" t="s">
        <v>645</v>
      </c>
      <c r="AZ174" s="68" t="s">
        <v>646</v>
      </c>
      <c r="BA174" s="49" t="s">
        <v>220</v>
      </c>
      <c r="BC174" s="37">
        <f>AW174+AX174</f>
        <v>0</v>
      </c>
      <c r="BD174" s="37">
        <f>G174/(100-BE174)*100</f>
        <v>0</v>
      </c>
      <c r="BE174" s="37">
        <v>0</v>
      </c>
      <c r="BF174" s="37">
        <f>174</f>
        <v>174</v>
      </c>
      <c r="BH174" s="37">
        <f>F174*AO174</f>
        <v>0</v>
      </c>
      <c r="BI174" s="37">
        <f>F174*AP174</f>
        <v>0</v>
      </c>
      <c r="BJ174" s="37">
        <f>F174*G174</f>
        <v>0</v>
      </c>
      <c r="BK174" s="37"/>
      <c r="BL174" s="37">
        <v>73</v>
      </c>
      <c r="BW174" s="37">
        <v>21</v>
      </c>
      <c r="BX174" s="3" t="s">
        <v>643</v>
      </c>
    </row>
    <row r="175" spans="1:76" x14ac:dyDescent="0.25">
      <c r="A175" s="1" t="s">
        <v>647</v>
      </c>
      <c r="B175" s="2" t="s">
        <v>648</v>
      </c>
      <c r="C175" s="258" t="s">
        <v>649</v>
      </c>
      <c r="D175" s="259"/>
      <c r="E175" s="2" t="s">
        <v>644</v>
      </c>
      <c r="F175" s="37">
        <v>1</v>
      </c>
      <c r="G175" s="66">
        <f>'Kancelář 1'!G52</f>
        <v>0</v>
      </c>
      <c r="H175" s="37">
        <f>F175*AO175</f>
        <v>0</v>
      </c>
      <c r="I175" s="37">
        <f>F175*AP175</f>
        <v>0</v>
      </c>
      <c r="J175" s="37">
        <f>F175*G175</f>
        <v>0</v>
      </c>
      <c r="K175" s="67" t="s">
        <v>327</v>
      </c>
      <c r="Z175" s="37">
        <f>IF(AQ175="5",BJ175,0)</f>
        <v>0</v>
      </c>
      <c r="AB175" s="37">
        <f>IF(AQ175="1",BH175,0)</f>
        <v>0</v>
      </c>
      <c r="AC175" s="37">
        <f>IF(AQ175="1",BI175,0)</f>
        <v>0</v>
      </c>
      <c r="AD175" s="37">
        <f>IF(AQ175="7",BH175,0)</f>
        <v>0</v>
      </c>
      <c r="AE175" s="37">
        <f>IF(AQ175="7",BI175,0)</f>
        <v>0</v>
      </c>
      <c r="AF175" s="37">
        <f>IF(AQ175="2",BH175,0)</f>
        <v>0</v>
      </c>
      <c r="AG175" s="37">
        <f>IF(AQ175="2",BI175,0)</f>
        <v>0</v>
      </c>
      <c r="AH175" s="37">
        <f>IF(AQ175="0",BJ175,0)</f>
        <v>0</v>
      </c>
      <c r="AI175" s="49" t="s">
        <v>89</v>
      </c>
      <c r="AJ175" s="37">
        <f>IF(AN175=0,J175,0)</f>
        <v>0</v>
      </c>
      <c r="AK175" s="37">
        <f>IF(AN175=12,J175,0)</f>
        <v>0</v>
      </c>
      <c r="AL175" s="37">
        <f>IF(AN175=21,J175,0)</f>
        <v>0</v>
      </c>
      <c r="AN175" s="37">
        <v>21</v>
      </c>
      <c r="AO175" s="37">
        <f>G175*0</f>
        <v>0</v>
      </c>
      <c r="AP175" s="37">
        <f>G175*(1-0)</f>
        <v>0</v>
      </c>
      <c r="AQ175" s="68" t="s">
        <v>237</v>
      </c>
      <c r="AV175" s="37">
        <f>AW175+AX175</f>
        <v>0</v>
      </c>
      <c r="AW175" s="37">
        <f>F175*AO175</f>
        <v>0</v>
      </c>
      <c r="AX175" s="37">
        <f>F175*AP175</f>
        <v>0</v>
      </c>
      <c r="AY175" s="68" t="s">
        <v>645</v>
      </c>
      <c r="AZ175" s="68" t="s">
        <v>646</v>
      </c>
      <c r="BA175" s="49" t="s">
        <v>220</v>
      </c>
      <c r="BC175" s="37">
        <f>AW175+AX175</f>
        <v>0</v>
      </c>
      <c r="BD175" s="37">
        <f>G175/(100-BE175)*100</f>
        <v>0</v>
      </c>
      <c r="BE175" s="37">
        <v>0</v>
      </c>
      <c r="BF175" s="37">
        <f>175</f>
        <v>175</v>
      </c>
      <c r="BH175" s="37">
        <f>F175*AO175</f>
        <v>0</v>
      </c>
      <c r="BI175" s="37">
        <f>F175*AP175</f>
        <v>0</v>
      </c>
      <c r="BJ175" s="37">
        <f>F175*G175</f>
        <v>0</v>
      </c>
      <c r="BK175" s="37"/>
      <c r="BL175" s="37">
        <v>73</v>
      </c>
      <c r="BW175" s="37">
        <v>21</v>
      </c>
      <c r="BX175" s="3" t="s">
        <v>649</v>
      </c>
    </row>
    <row r="176" spans="1:76" x14ac:dyDescent="0.25">
      <c r="A176" s="1" t="s">
        <v>650</v>
      </c>
      <c r="B176" s="2" t="s">
        <v>651</v>
      </c>
      <c r="C176" s="258" t="s">
        <v>652</v>
      </c>
      <c r="D176" s="259"/>
      <c r="E176" s="2" t="s">
        <v>644</v>
      </c>
      <c r="F176" s="37">
        <v>1</v>
      </c>
      <c r="G176" s="66">
        <f>'Kancelář 2'!G55</f>
        <v>0</v>
      </c>
      <c r="H176" s="37">
        <f>F176*AO176</f>
        <v>0</v>
      </c>
      <c r="I176" s="37">
        <f>F176*AP176</f>
        <v>0</v>
      </c>
      <c r="J176" s="37">
        <f>F176*G176</f>
        <v>0</v>
      </c>
      <c r="K176" s="67" t="s">
        <v>327</v>
      </c>
      <c r="Z176" s="37">
        <f>IF(AQ176="5",BJ176,0)</f>
        <v>0</v>
      </c>
      <c r="AB176" s="37">
        <f>IF(AQ176="1",BH176,0)</f>
        <v>0</v>
      </c>
      <c r="AC176" s="37">
        <f>IF(AQ176="1",BI176,0)</f>
        <v>0</v>
      </c>
      <c r="AD176" s="37">
        <f>IF(AQ176="7",BH176,0)</f>
        <v>0</v>
      </c>
      <c r="AE176" s="37">
        <f>IF(AQ176="7",BI176,0)</f>
        <v>0</v>
      </c>
      <c r="AF176" s="37">
        <f>IF(AQ176="2",BH176,0)</f>
        <v>0</v>
      </c>
      <c r="AG176" s="37">
        <f>IF(AQ176="2",BI176,0)</f>
        <v>0</v>
      </c>
      <c r="AH176" s="37">
        <f>IF(AQ176="0",BJ176,0)</f>
        <v>0</v>
      </c>
      <c r="AI176" s="49" t="s">
        <v>89</v>
      </c>
      <c r="AJ176" s="37">
        <f>IF(AN176=0,J176,0)</f>
        <v>0</v>
      </c>
      <c r="AK176" s="37">
        <f>IF(AN176=12,J176,0)</f>
        <v>0</v>
      </c>
      <c r="AL176" s="37">
        <f>IF(AN176=21,J176,0)</f>
        <v>0</v>
      </c>
      <c r="AN176" s="37">
        <v>21</v>
      </c>
      <c r="AO176" s="37">
        <f>G176*0</f>
        <v>0</v>
      </c>
      <c r="AP176" s="37">
        <f>G176*(1-0)</f>
        <v>0</v>
      </c>
      <c r="AQ176" s="68" t="s">
        <v>237</v>
      </c>
      <c r="AV176" s="37">
        <f>AW176+AX176</f>
        <v>0</v>
      </c>
      <c r="AW176" s="37">
        <f>F176*AO176</f>
        <v>0</v>
      </c>
      <c r="AX176" s="37">
        <f>F176*AP176</f>
        <v>0</v>
      </c>
      <c r="AY176" s="68" t="s">
        <v>645</v>
      </c>
      <c r="AZ176" s="68" t="s">
        <v>646</v>
      </c>
      <c r="BA176" s="49" t="s">
        <v>220</v>
      </c>
      <c r="BC176" s="37">
        <f>AW176+AX176</f>
        <v>0</v>
      </c>
      <c r="BD176" s="37">
        <f>G176/(100-BE176)*100</f>
        <v>0</v>
      </c>
      <c r="BE176" s="37">
        <v>0</v>
      </c>
      <c r="BF176" s="37">
        <f>176</f>
        <v>176</v>
      </c>
      <c r="BH176" s="37">
        <f>F176*AO176</f>
        <v>0</v>
      </c>
      <c r="BI176" s="37">
        <f>F176*AP176</f>
        <v>0</v>
      </c>
      <c r="BJ176" s="37">
        <f>F176*G176</f>
        <v>0</v>
      </c>
      <c r="BK176" s="37"/>
      <c r="BL176" s="37">
        <v>73</v>
      </c>
      <c r="BW176" s="37">
        <v>21</v>
      </c>
      <c r="BX176" s="3" t="s">
        <v>652</v>
      </c>
    </row>
    <row r="177" spans="1:76" x14ac:dyDescent="0.25">
      <c r="A177" s="1" t="s">
        <v>653</v>
      </c>
      <c r="B177" s="2" t="s">
        <v>654</v>
      </c>
      <c r="C177" s="258" t="s">
        <v>655</v>
      </c>
      <c r="D177" s="259"/>
      <c r="E177" s="2" t="s">
        <v>63</v>
      </c>
      <c r="F177" s="37">
        <v>3046.94</v>
      </c>
      <c r="G177" s="66">
        <v>0</v>
      </c>
      <c r="H177" s="37">
        <f>F177*AO177</f>
        <v>0</v>
      </c>
      <c r="I177" s="37">
        <f>F177*AP177</f>
        <v>0</v>
      </c>
      <c r="J177" s="37">
        <f>F177*G177</f>
        <v>0</v>
      </c>
      <c r="K177" s="67" t="s">
        <v>357</v>
      </c>
      <c r="Z177" s="37">
        <f>IF(AQ177="5",BJ177,0)</f>
        <v>0</v>
      </c>
      <c r="AB177" s="37">
        <f>IF(AQ177="1",BH177,0)</f>
        <v>0</v>
      </c>
      <c r="AC177" s="37">
        <f>IF(AQ177="1",BI177,0)</f>
        <v>0</v>
      </c>
      <c r="AD177" s="37">
        <f>IF(AQ177="7",BH177,0)</f>
        <v>0</v>
      </c>
      <c r="AE177" s="37">
        <f>IF(AQ177="7",BI177,0)</f>
        <v>0</v>
      </c>
      <c r="AF177" s="37">
        <f>IF(AQ177="2",BH177,0)</f>
        <v>0</v>
      </c>
      <c r="AG177" s="37">
        <f>IF(AQ177="2",BI177,0)</f>
        <v>0</v>
      </c>
      <c r="AH177" s="37">
        <f>IF(AQ177="0",BJ177,0)</f>
        <v>0</v>
      </c>
      <c r="AI177" s="49" t="s">
        <v>89</v>
      </c>
      <c r="AJ177" s="37">
        <f>IF(AN177=0,J177,0)</f>
        <v>0</v>
      </c>
      <c r="AK177" s="37">
        <f>IF(AN177=12,J177,0)</f>
        <v>0</v>
      </c>
      <c r="AL177" s="37">
        <f>IF(AN177=21,J177,0)</f>
        <v>0</v>
      </c>
      <c r="AN177" s="37">
        <v>21</v>
      </c>
      <c r="AO177" s="37">
        <f>G177*0</f>
        <v>0</v>
      </c>
      <c r="AP177" s="37">
        <f>G177*(1-0)</f>
        <v>0</v>
      </c>
      <c r="AQ177" s="68" t="s">
        <v>231</v>
      </c>
      <c r="AV177" s="37">
        <f>AW177+AX177</f>
        <v>0</v>
      </c>
      <c r="AW177" s="37">
        <f>F177*AO177</f>
        <v>0</v>
      </c>
      <c r="AX177" s="37">
        <f>F177*AP177</f>
        <v>0</v>
      </c>
      <c r="AY177" s="68" t="s">
        <v>645</v>
      </c>
      <c r="AZ177" s="68" t="s">
        <v>646</v>
      </c>
      <c r="BA177" s="49" t="s">
        <v>220</v>
      </c>
      <c r="BC177" s="37">
        <f>AW177+AX177</f>
        <v>0</v>
      </c>
      <c r="BD177" s="37">
        <f>G177/(100-BE177)*100</f>
        <v>0</v>
      </c>
      <c r="BE177" s="37">
        <v>0</v>
      </c>
      <c r="BF177" s="37">
        <f>177</f>
        <v>177</v>
      </c>
      <c r="BH177" s="37">
        <f>F177*AO177</f>
        <v>0</v>
      </c>
      <c r="BI177" s="37">
        <f>F177*AP177</f>
        <v>0</v>
      </c>
      <c r="BJ177" s="37">
        <f>F177*G177</f>
        <v>0</v>
      </c>
      <c r="BK177" s="37"/>
      <c r="BL177" s="37">
        <v>73</v>
      </c>
      <c r="BW177" s="37">
        <v>21</v>
      </c>
      <c r="BX177" s="3" t="s">
        <v>655</v>
      </c>
    </row>
    <row r="178" spans="1:76" x14ac:dyDescent="0.25">
      <c r="A178" s="61" t="s">
        <v>4</v>
      </c>
      <c r="B178" s="62" t="s">
        <v>141</v>
      </c>
      <c r="C178" s="343" t="s">
        <v>142</v>
      </c>
      <c r="D178" s="344"/>
      <c r="E178" s="63" t="s">
        <v>81</v>
      </c>
      <c r="F178" s="63" t="s">
        <v>81</v>
      </c>
      <c r="G178" s="64" t="s">
        <v>81</v>
      </c>
      <c r="H178" s="43">
        <f>SUM(H179:H185)</f>
        <v>0</v>
      </c>
      <c r="I178" s="43">
        <f>SUM(I179:I185)</f>
        <v>0</v>
      </c>
      <c r="J178" s="43">
        <f>SUM(J179:J185)</f>
        <v>0</v>
      </c>
      <c r="K178" s="65" t="s">
        <v>4</v>
      </c>
      <c r="AI178" s="49" t="s">
        <v>89</v>
      </c>
      <c r="AS178" s="43">
        <f>SUM(AJ179:AJ185)</f>
        <v>0</v>
      </c>
      <c r="AT178" s="43">
        <f>SUM(AK179:AK185)</f>
        <v>0</v>
      </c>
      <c r="AU178" s="43">
        <f>SUM(AL179:AL185)</f>
        <v>0</v>
      </c>
    </row>
    <row r="179" spans="1:76" x14ac:dyDescent="0.25">
      <c r="A179" s="1" t="s">
        <v>656</v>
      </c>
      <c r="B179" s="2" t="s">
        <v>657</v>
      </c>
      <c r="C179" s="258" t="s">
        <v>658</v>
      </c>
      <c r="D179" s="259"/>
      <c r="E179" s="2" t="s">
        <v>313</v>
      </c>
      <c r="F179" s="37">
        <v>13.31</v>
      </c>
      <c r="G179" s="66">
        <v>0</v>
      </c>
      <c r="H179" s="37">
        <f t="shared" ref="H179:H185" si="158">F179*AO179</f>
        <v>0</v>
      </c>
      <c r="I179" s="37">
        <f t="shared" ref="I179:I185" si="159">F179*AP179</f>
        <v>0</v>
      </c>
      <c r="J179" s="37">
        <f t="shared" ref="J179:J185" si="160">F179*G179</f>
        <v>0</v>
      </c>
      <c r="K179" s="67" t="s">
        <v>217</v>
      </c>
      <c r="Z179" s="37">
        <f t="shared" ref="Z179:Z185" si="161">IF(AQ179="5",BJ179,0)</f>
        <v>0</v>
      </c>
      <c r="AB179" s="37">
        <f t="shared" ref="AB179:AB185" si="162">IF(AQ179="1",BH179,0)</f>
        <v>0</v>
      </c>
      <c r="AC179" s="37">
        <f t="shared" ref="AC179:AC185" si="163">IF(AQ179="1",BI179,0)</f>
        <v>0</v>
      </c>
      <c r="AD179" s="37">
        <f t="shared" ref="AD179:AD185" si="164">IF(AQ179="7",BH179,0)</f>
        <v>0</v>
      </c>
      <c r="AE179" s="37">
        <f t="shared" ref="AE179:AE185" si="165">IF(AQ179="7",BI179,0)</f>
        <v>0</v>
      </c>
      <c r="AF179" s="37">
        <f t="shared" ref="AF179:AF185" si="166">IF(AQ179="2",BH179,0)</f>
        <v>0</v>
      </c>
      <c r="AG179" s="37">
        <f t="shared" ref="AG179:AG185" si="167">IF(AQ179="2",BI179,0)</f>
        <v>0</v>
      </c>
      <c r="AH179" s="37">
        <f t="shared" ref="AH179:AH185" si="168">IF(AQ179="0",BJ179,0)</f>
        <v>0</v>
      </c>
      <c r="AI179" s="49" t="s">
        <v>89</v>
      </c>
      <c r="AJ179" s="37">
        <f t="shared" ref="AJ179:AJ185" si="169">IF(AN179=0,J179,0)</f>
        <v>0</v>
      </c>
      <c r="AK179" s="37">
        <f t="shared" ref="AK179:AK185" si="170">IF(AN179=12,J179,0)</f>
        <v>0</v>
      </c>
      <c r="AL179" s="37">
        <f t="shared" ref="AL179:AL185" si="171">IF(AN179=21,J179,0)</f>
        <v>0</v>
      </c>
      <c r="AN179" s="37">
        <v>21</v>
      </c>
      <c r="AO179" s="37">
        <f>G179*0.391450399</f>
        <v>0</v>
      </c>
      <c r="AP179" s="37">
        <f>G179*(1-0.391450399)</f>
        <v>0</v>
      </c>
      <c r="AQ179" s="68" t="s">
        <v>237</v>
      </c>
      <c r="AV179" s="37">
        <f t="shared" ref="AV179:AV185" si="172">AW179+AX179</f>
        <v>0</v>
      </c>
      <c r="AW179" s="37">
        <f t="shared" ref="AW179:AW185" si="173">F179*AO179</f>
        <v>0</v>
      </c>
      <c r="AX179" s="37">
        <f t="shared" ref="AX179:AX185" si="174">F179*AP179</f>
        <v>0</v>
      </c>
      <c r="AY179" s="68" t="s">
        <v>659</v>
      </c>
      <c r="AZ179" s="68" t="s">
        <v>660</v>
      </c>
      <c r="BA179" s="49" t="s">
        <v>220</v>
      </c>
      <c r="BC179" s="37">
        <f t="shared" ref="BC179:BC185" si="175">AW179+AX179</f>
        <v>0</v>
      </c>
      <c r="BD179" s="37">
        <f t="shared" ref="BD179:BD185" si="176">G179/(100-BE179)*100</f>
        <v>0</v>
      </c>
      <c r="BE179" s="37">
        <v>0</v>
      </c>
      <c r="BF179" s="37">
        <f>179</f>
        <v>179</v>
      </c>
      <c r="BH179" s="37">
        <f t="shared" ref="BH179:BH185" si="177">F179*AO179</f>
        <v>0</v>
      </c>
      <c r="BI179" s="37">
        <f t="shared" ref="BI179:BI185" si="178">F179*AP179</f>
        <v>0</v>
      </c>
      <c r="BJ179" s="37">
        <f t="shared" ref="BJ179:BJ185" si="179">F179*G179</f>
        <v>0</v>
      </c>
      <c r="BK179" s="37"/>
      <c r="BL179" s="37">
        <v>762</v>
      </c>
      <c r="BW179" s="37">
        <v>21</v>
      </c>
      <c r="BX179" s="3" t="s">
        <v>658</v>
      </c>
    </row>
    <row r="180" spans="1:76" x14ac:dyDescent="0.25">
      <c r="A180" s="1" t="s">
        <v>661</v>
      </c>
      <c r="B180" s="2" t="s">
        <v>662</v>
      </c>
      <c r="C180" s="258" t="s">
        <v>663</v>
      </c>
      <c r="D180" s="259"/>
      <c r="E180" s="2" t="s">
        <v>313</v>
      </c>
      <c r="F180" s="37">
        <v>3.19</v>
      </c>
      <c r="G180" s="66">
        <v>0</v>
      </c>
      <c r="H180" s="37">
        <f t="shared" si="158"/>
        <v>0</v>
      </c>
      <c r="I180" s="37">
        <f t="shared" si="159"/>
        <v>0</v>
      </c>
      <c r="J180" s="37">
        <f t="shared" si="160"/>
        <v>0</v>
      </c>
      <c r="K180" s="67" t="s">
        <v>217</v>
      </c>
      <c r="Z180" s="37">
        <f t="shared" si="161"/>
        <v>0</v>
      </c>
      <c r="AB180" s="37">
        <f t="shared" si="162"/>
        <v>0</v>
      </c>
      <c r="AC180" s="37">
        <f t="shared" si="163"/>
        <v>0</v>
      </c>
      <c r="AD180" s="37">
        <f t="shared" si="164"/>
        <v>0</v>
      </c>
      <c r="AE180" s="37">
        <f t="shared" si="165"/>
        <v>0</v>
      </c>
      <c r="AF180" s="37">
        <f t="shared" si="166"/>
        <v>0</v>
      </c>
      <c r="AG180" s="37">
        <f t="shared" si="167"/>
        <v>0</v>
      </c>
      <c r="AH180" s="37">
        <f t="shared" si="168"/>
        <v>0</v>
      </c>
      <c r="AI180" s="49" t="s">
        <v>89</v>
      </c>
      <c r="AJ180" s="37">
        <f t="shared" si="169"/>
        <v>0</v>
      </c>
      <c r="AK180" s="37">
        <f t="shared" si="170"/>
        <v>0</v>
      </c>
      <c r="AL180" s="37">
        <f t="shared" si="171"/>
        <v>0</v>
      </c>
      <c r="AN180" s="37">
        <v>21</v>
      </c>
      <c r="AO180" s="37">
        <f>G180*0.45493613</f>
        <v>0</v>
      </c>
      <c r="AP180" s="37">
        <f>G180*(1-0.45493613)</f>
        <v>0</v>
      </c>
      <c r="AQ180" s="68" t="s">
        <v>237</v>
      </c>
      <c r="AV180" s="37">
        <f t="shared" si="172"/>
        <v>0</v>
      </c>
      <c r="AW180" s="37">
        <f t="shared" si="173"/>
        <v>0</v>
      </c>
      <c r="AX180" s="37">
        <f t="shared" si="174"/>
        <v>0</v>
      </c>
      <c r="AY180" s="68" t="s">
        <v>659</v>
      </c>
      <c r="AZ180" s="68" t="s">
        <v>660</v>
      </c>
      <c r="BA180" s="49" t="s">
        <v>220</v>
      </c>
      <c r="BC180" s="37">
        <f t="shared" si="175"/>
        <v>0</v>
      </c>
      <c r="BD180" s="37">
        <f t="shared" si="176"/>
        <v>0</v>
      </c>
      <c r="BE180" s="37">
        <v>0</v>
      </c>
      <c r="BF180" s="37">
        <f>180</f>
        <v>180</v>
      </c>
      <c r="BH180" s="37">
        <f t="shared" si="177"/>
        <v>0</v>
      </c>
      <c r="BI180" s="37">
        <f t="shared" si="178"/>
        <v>0</v>
      </c>
      <c r="BJ180" s="37">
        <f t="shared" si="179"/>
        <v>0</v>
      </c>
      <c r="BK180" s="37"/>
      <c r="BL180" s="37">
        <v>762</v>
      </c>
      <c r="BW180" s="37">
        <v>21</v>
      </c>
      <c r="BX180" s="3" t="s">
        <v>663</v>
      </c>
    </row>
    <row r="181" spans="1:76" x14ac:dyDescent="0.25">
      <c r="A181" s="1" t="s">
        <v>664</v>
      </c>
      <c r="B181" s="2" t="s">
        <v>665</v>
      </c>
      <c r="C181" s="258" t="s">
        <v>666</v>
      </c>
      <c r="D181" s="259"/>
      <c r="E181" s="2" t="s">
        <v>216</v>
      </c>
      <c r="F181" s="37">
        <v>0.17904</v>
      </c>
      <c r="G181" s="66">
        <v>0</v>
      </c>
      <c r="H181" s="37">
        <f t="shared" si="158"/>
        <v>0</v>
      </c>
      <c r="I181" s="37">
        <f t="shared" si="159"/>
        <v>0</v>
      </c>
      <c r="J181" s="37">
        <f t="shared" si="160"/>
        <v>0</v>
      </c>
      <c r="K181" s="67" t="s">
        <v>217</v>
      </c>
      <c r="Z181" s="37">
        <f t="shared" si="161"/>
        <v>0</v>
      </c>
      <c r="AB181" s="37">
        <f t="shared" si="162"/>
        <v>0</v>
      </c>
      <c r="AC181" s="37">
        <f t="shared" si="163"/>
        <v>0</v>
      </c>
      <c r="AD181" s="37">
        <f t="shared" si="164"/>
        <v>0</v>
      </c>
      <c r="AE181" s="37">
        <f t="shared" si="165"/>
        <v>0</v>
      </c>
      <c r="AF181" s="37">
        <f t="shared" si="166"/>
        <v>0</v>
      </c>
      <c r="AG181" s="37">
        <f t="shared" si="167"/>
        <v>0</v>
      </c>
      <c r="AH181" s="37">
        <f t="shared" si="168"/>
        <v>0</v>
      </c>
      <c r="AI181" s="49" t="s">
        <v>89</v>
      </c>
      <c r="AJ181" s="37">
        <f t="shared" si="169"/>
        <v>0</v>
      </c>
      <c r="AK181" s="37">
        <f t="shared" si="170"/>
        <v>0</v>
      </c>
      <c r="AL181" s="37">
        <f t="shared" si="171"/>
        <v>0</v>
      </c>
      <c r="AN181" s="37">
        <v>21</v>
      </c>
      <c r="AO181" s="37">
        <f>G181*1.000016069</f>
        <v>0</v>
      </c>
      <c r="AP181" s="37">
        <f>G181*(1-1.000016069)</f>
        <v>0</v>
      </c>
      <c r="AQ181" s="68" t="s">
        <v>237</v>
      </c>
      <c r="AV181" s="37">
        <f t="shared" si="172"/>
        <v>0</v>
      </c>
      <c r="AW181" s="37">
        <f t="shared" si="173"/>
        <v>0</v>
      </c>
      <c r="AX181" s="37">
        <f t="shared" si="174"/>
        <v>0</v>
      </c>
      <c r="AY181" s="68" t="s">
        <v>659</v>
      </c>
      <c r="AZ181" s="68" t="s">
        <v>660</v>
      </c>
      <c r="BA181" s="49" t="s">
        <v>220</v>
      </c>
      <c r="BC181" s="37">
        <f t="shared" si="175"/>
        <v>0</v>
      </c>
      <c r="BD181" s="37">
        <f t="shared" si="176"/>
        <v>0</v>
      </c>
      <c r="BE181" s="37">
        <v>0</v>
      </c>
      <c r="BF181" s="37">
        <f>181</f>
        <v>181</v>
      </c>
      <c r="BH181" s="37">
        <f t="shared" si="177"/>
        <v>0</v>
      </c>
      <c r="BI181" s="37">
        <f t="shared" si="178"/>
        <v>0</v>
      </c>
      <c r="BJ181" s="37">
        <f t="shared" si="179"/>
        <v>0</v>
      </c>
      <c r="BK181" s="37"/>
      <c r="BL181" s="37">
        <v>762</v>
      </c>
      <c r="BW181" s="37">
        <v>21</v>
      </c>
      <c r="BX181" s="3" t="s">
        <v>666</v>
      </c>
    </row>
    <row r="182" spans="1:76" ht="25.5" x14ac:dyDescent="0.25">
      <c r="A182" s="1" t="s">
        <v>667</v>
      </c>
      <c r="B182" s="2" t="s">
        <v>668</v>
      </c>
      <c r="C182" s="258" t="s">
        <v>669</v>
      </c>
      <c r="D182" s="259"/>
      <c r="E182" s="2" t="s">
        <v>251</v>
      </c>
      <c r="F182" s="37">
        <v>7.4290000000000003</v>
      </c>
      <c r="G182" s="66">
        <v>0</v>
      </c>
      <c r="H182" s="37">
        <f t="shared" si="158"/>
        <v>0</v>
      </c>
      <c r="I182" s="37">
        <f t="shared" si="159"/>
        <v>0</v>
      </c>
      <c r="J182" s="37">
        <f t="shared" si="160"/>
        <v>0</v>
      </c>
      <c r="K182" s="67" t="s">
        <v>217</v>
      </c>
      <c r="Z182" s="37">
        <f t="shared" si="161"/>
        <v>0</v>
      </c>
      <c r="AB182" s="37">
        <f t="shared" si="162"/>
        <v>0</v>
      </c>
      <c r="AC182" s="37">
        <f t="shared" si="163"/>
        <v>0</v>
      </c>
      <c r="AD182" s="37">
        <f t="shared" si="164"/>
        <v>0</v>
      </c>
      <c r="AE182" s="37">
        <f t="shared" si="165"/>
        <v>0</v>
      </c>
      <c r="AF182" s="37">
        <f t="shared" si="166"/>
        <v>0</v>
      </c>
      <c r="AG182" s="37">
        <f t="shared" si="167"/>
        <v>0</v>
      </c>
      <c r="AH182" s="37">
        <f t="shared" si="168"/>
        <v>0</v>
      </c>
      <c r="AI182" s="49" t="s">
        <v>89</v>
      </c>
      <c r="AJ182" s="37">
        <f t="shared" si="169"/>
        <v>0</v>
      </c>
      <c r="AK182" s="37">
        <f t="shared" si="170"/>
        <v>0</v>
      </c>
      <c r="AL182" s="37">
        <f t="shared" si="171"/>
        <v>0</v>
      </c>
      <c r="AN182" s="37">
        <v>21</v>
      </c>
      <c r="AO182" s="37">
        <f>G182*0.561515374</f>
        <v>0</v>
      </c>
      <c r="AP182" s="37">
        <f>G182*(1-0.561515374)</f>
        <v>0</v>
      </c>
      <c r="AQ182" s="68" t="s">
        <v>237</v>
      </c>
      <c r="AV182" s="37">
        <f t="shared" si="172"/>
        <v>0</v>
      </c>
      <c r="AW182" s="37">
        <f t="shared" si="173"/>
        <v>0</v>
      </c>
      <c r="AX182" s="37">
        <f t="shared" si="174"/>
        <v>0</v>
      </c>
      <c r="AY182" s="68" t="s">
        <v>659</v>
      </c>
      <c r="AZ182" s="68" t="s">
        <v>660</v>
      </c>
      <c r="BA182" s="49" t="s">
        <v>220</v>
      </c>
      <c r="BC182" s="37">
        <f t="shared" si="175"/>
        <v>0</v>
      </c>
      <c r="BD182" s="37">
        <f t="shared" si="176"/>
        <v>0</v>
      </c>
      <c r="BE182" s="37">
        <v>0</v>
      </c>
      <c r="BF182" s="37">
        <f>182</f>
        <v>182</v>
      </c>
      <c r="BH182" s="37">
        <f t="shared" si="177"/>
        <v>0</v>
      </c>
      <c r="BI182" s="37">
        <f t="shared" si="178"/>
        <v>0</v>
      </c>
      <c r="BJ182" s="37">
        <f t="shared" si="179"/>
        <v>0</v>
      </c>
      <c r="BK182" s="37"/>
      <c r="BL182" s="37">
        <v>762</v>
      </c>
      <c r="BW182" s="37">
        <v>21</v>
      </c>
      <c r="BX182" s="3" t="s">
        <v>669</v>
      </c>
    </row>
    <row r="183" spans="1:76" x14ac:dyDescent="0.25">
      <c r="A183" s="1" t="s">
        <v>670</v>
      </c>
      <c r="B183" s="2" t="s">
        <v>665</v>
      </c>
      <c r="C183" s="258" t="s">
        <v>666</v>
      </c>
      <c r="D183" s="259"/>
      <c r="E183" s="2" t="s">
        <v>216</v>
      </c>
      <c r="F183" s="37">
        <v>0.17904</v>
      </c>
      <c r="G183" s="66">
        <v>0</v>
      </c>
      <c r="H183" s="37">
        <f t="shared" si="158"/>
        <v>0</v>
      </c>
      <c r="I183" s="37">
        <f t="shared" si="159"/>
        <v>0</v>
      </c>
      <c r="J183" s="37">
        <f t="shared" si="160"/>
        <v>0</v>
      </c>
      <c r="K183" s="67" t="s">
        <v>217</v>
      </c>
      <c r="Z183" s="37">
        <f t="shared" si="161"/>
        <v>0</v>
      </c>
      <c r="AB183" s="37">
        <f t="shared" si="162"/>
        <v>0</v>
      </c>
      <c r="AC183" s="37">
        <f t="shared" si="163"/>
        <v>0</v>
      </c>
      <c r="AD183" s="37">
        <f t="shared" si="164"/>
        <v>0</v>
      </c>
      <c r="AE183" s="37">
        <f t="shared" si="165"/>
        <v>0</v>
      </c>
      <c r="AF183" s="37">
        <f t="shared" si="166"/>
        <v>0</v>
      </c>
      <c r="AG183" s="37">
        <f t="shared" si="167"/>
        <v>0</v>
      </c>
      <c r="AH183" s="37">
        <f t="shared" si="168"/>
        <v>0</v>
      </c>
      <c r="AI183" s="49" t="s">
        <v>89</v>
      </c>
      <c r="AJ183" s="37">
        <f t="shared" si="169"/>
        <v>0</v>
      </c>
      <c r="AK183" s="37">
        <f t="shared" si="170"/>
        <v>0</v>
      </c>
      <c r="AL183" s="37">
        <f t="shared" si="171"/>
        <v>0</v>
      </c>
      <c r="AN183" s="37">
        <v>21</v>
      </c>
      <c r="AO183" s="37">
        <f>G183*1.000016069</f>
        <v>0</v>
      </c>
      <c r="AP183" s="37">
        <f>G183*(1-1.000016069)</f>
        <v>0</v>
      </c>
      <c r="AQ183" s="68" t="s">
        <v>237</v>
      </c>
      <c r="AV183" s="37">
        <f t="shared" si="172"/>
        <v>0</v>
      </c>
      <c r="AW183" s="37">
        <f t="shared" si="173"/>
        <v>0</v>
      </c>
      <c r="AX183" s="37">
        <f t="shared" si="174"/>
        <v>0</v>
      </c>
      <c r="AY183" s="68" t="s">
        <v>659</v>
      </c>
      <c r="AZ183" s="68" t="s">
        <v>660</v>
      </c>
      <c r="BA183" s="49" t="s">
        <v>220</v>
      </c>
      <c r="BC183" s="37">
        <f t="shared" si="175"/>
        <v>0</v>
      </c>
      <c r="BD183" s="37">
        <f t="shared" si="176"/>
        <v>0</v>
      </c>
      <c r="BE183" s="37">
        <v>0</v>
      </c>
      <c r="BF183" s="37">
        <f>183</f>
        <v>183</v>
      </c>
      <c r="BH183" s="37">
        <f t="shared" si="177"/>
        <v>0</v>
      </c>
      <c r="BI183" s="37">
        <f t="shared" si="178"/>
        <v>0</v>
      </c>
      <c r="BJ183" s="37">
        <f t="shared" si="179"/>
        <v>0</v>
      </c>
      <c r="BK183" s="37"/>
      <c r="BL183" s="37">
        <v>762</v>
      </c>
      <c r="BW183" s="37">
        <v>21</v>
      </c>
      <c r="BX183" s="3" t="s">
        <v>666</v>
      </c>
    </row>
    <row r="184" spans="1:76" x14ac:dyDescent="0.25">
      <c r="A184" s="1" t="s">
        <v>671</v>
      </c>
      <c r="B184" s="2" t="s">
        <v>672</v>
      </c>
      <c r="C184" s="258" t="s">
        <v>673</v>
      </c>
      <c r="D184" s="259"/>
      <c r="E184" s="2" t="s">
        <v>216</v>
      </c>
      <c r="F184" s="37">
        <v>0.17904</v>
      </c>
      <c r="G184" s="66">
        <v>0</v>
      </c>
      <c r="H184" s="37">
        <f t="shared" si="158"/>
        <v>0</v>
      </c>
      <c r="I184" s="37">
        <f t="shared" si="159"/>
        <v>0</v>
      </c>
      <c r="J184" s="37">
        <f t="shared" si="160"/>
        <v>0</v>
      </c>
      <c r="K184" s="67" t="s">
        <v>217</v>
      </c>
      <c r="Z184" s="37">
        <f t="shared" si="161"/>
        <v>0</v>
      </c>
      <c r="AB184" s="37">
        <f t="shared" si="162"/>
        <v>0</v>
      </c>
      <c r="AC184" s="37">
        <f t="shared" si="163"/>
        <v>0</v>
      </c>
      <c r="AD184" s="37">
        <f t="shared" si="164"/>
        <v>0</v>
      </c>
      <c r="AE184" s="37">
        <f t="shared" si="165"/>
        <v>0</v>
      </c>
      <c r="AF184" s="37">
        <f t="shared" si="166"/>
        <v>0</v>
      </c>
      <c r="AG184" s="37">
        <f t="shared" si="167"/>
        <v>0</v>
      </c>
      <c r="AH184" s="37">
        <f t="shared" si="168"/>
        <v>0</v>
      </c>
      <c r="AI184" s="49" t="s">
        <v>89</v>
      </c>
      <c r="AJ184" s="37">
        <f t="shared" si="169"/>
        <v>0</v>
      </c>
      <c r="AK184" s="37">
        <f t="shared" si="170"/>
        <v>0</v>
      </c>
      <c r="AL184" s="37">
        <f t="shared" si="171"/>
        <v>0</v>
      </c>
      <c r="AN184" s="37">
        <v>21</v>
      </c>
      <c r="AO184" s="37">
        <f>G184*0.988431111</f>
        <v>0</v>
      </c>
      <c r="AP184" s="37">
        <f>G184*(1-0.988431111)</f>
        <v>0</v>
      </c>
      <c r="AQ184" s="68" t="s">
        <v>237</v>
      </c>
      <c r="AV184" s="37">
        <f t="shared" si="172"/>
        <v>0</v>
      </c>
      <c r="AW184" s="37">
        <f t="shared" si="173"/>
        <v>0</v>
      </c>
      <c r="AX184" s="37">
        <f t="shared" si="174"/>
        <v>0</v>
      </c>
      <c r="AY184" s="68" t="s">
        <v>659</v>
      </c>
      <c r="AZ184" s="68" t="s">
        <v>660</v>
      </c>
      <c r="BA184" s="49" t="s">
        <v>220</v>
      </c>
      <c r="BC184" s="37">
        <f t="shared" si="175"/>
        <v>0</v>
      </c>
      <c r="BD184" s="37">
        <f t="shared" si="176"/>
        <v>0</v>
      </c>
      <c r="BE184" s="37">
        <v>0</v>
      </c>
      <c r="BF184" s="37">
        <f>184</f>
        <v>184</v>
      </c>
      <c r="BH184" s="37">
        <f t="shared" si="177"/>
        <v>0</v>
      </c>
      <c r="BI184" s="37">
        <f t="shared" si="178"/>
        <v>0</v>
      </c>
      <c r="BJ184" s="37">
        <f t="shared" si="179"/>
        <v>0</v>
      </c>
      <c r="BK184" s="37"/>
      <c r="BL184" s="37">
        <v>762</v>
      </c>
      <c r="BW184" s="37">
        <v>21</v>
      </c>
      <c r="BX184" s="3" t="s">
        <v>673</v>
      </c>
    </row>
    <row r="185" spans="1:76" x14ac:dyDescent="0.25">
      <c r="A185" s="1" t="s">
        <v>674</v>
      </c>
      <c r="B185" s="2" t="s">
        <v>675</v>
      </c>
      <c r="C185" s="258" t="s">
        <v>676</v>
      </c>
      <c r="D185" s="259"/>
      <c r="E185" s="2" t="s">
        <v>63</v>
      </c>
      <c r="F185" s="37">
        <v>93.053299999999993</v>
      </c>
      <c r="G185" s="66">
        <v>0</v>
      </c>
      <c r="H185" s="37">
        <f t="shared" si="158"/>
        <v>0</v>
      </c>
      <c r="I185" s="37">
        <f t="shared" si="159"/>
        <v>0</v>
      </c>
      <c r="J185" s="37">
        <f t="shared" si="160"/>
        <v>0</v>
      </c>
      <c r="K185" s="67" t="s">
        <v>217</v>
      </c>
      <c r="Z185" s="37">
        <f t="shared" si="161"/>
        <v>0</v>
      </c>
      <c r="AB185" s="37">
        <f t="shared" si="162"/>
        <v>0</v>
      </c>
      <c r="AC185" s="37">
        <f t="shared" si="163"/>
        <v>0</v>
      </c>
      <c r="AD185" s="37">
        <f t="shared" si="164"/>
        <v>0</v>
      </c>
      <c r="AE185" s="37">
        <f t="shared" si="165"/>
        <v>0</v>
      </c>
      <c r="AF185" s="37">
        <f t="shared" si="166"/>
        <v>0</v>
      </c>
      <c r="AG185" s="37">
        <f t="shared" si="167"/>
        <v>0</v>
      </c>
      <c r="AH185" s="37">
        <f t="shared" si="168"/>
        <v>0</v>
      </c>
      <c r="AI185" s="49" t="s">
        <v>89</v>
      </c>
      <c r="AJ185" s="37">
        <f t="shared" si="169"/>
        <v>0</v>
      </c>
      <c r="AK185" s="37">
        <f t="shared" si="170"/>
        <v>0</v>
      </c>
      <c r="AL185" s="37">
        <f t="shared" si="171"/>
        <v>0</v>
      </c>
      <c r="AN185" s="37">
        <v>21</v>
      </c>
      <c r="AO185" s="37">
        <f>G185*0</f>
        <v>0</v>
      </c>
      <c r="AP185" s="37">
        <f>G185*(1-0)</f>
        <v>0</v>
      </c>
      <c r="AQ185" s="68" t="s">
        <v>231</v>
      </c>
      <c r="AV185" s="37">
        <f t="shared" si="172"/>
        <v>0</v>
      </c>
      <c r="AW185" s="37">
        <f t="shared" si="173"/>
        <v>0</v>
      </c>
      <c r="AX185" s="37">
        <f t="shared" si="174"/>
        <v>0</v>
      </c>
      <c r="AY185" s="68" t="s">
        <v>659</v>
      </c>
      <c r="AZ185" s="68" t="s">
        <v>660</v>
      </c>
      <c r="BA185" s="49" t="s">
        <v>220</v>
      </c>
      <c r="BC185" s="37">
        <f t="shared" si="175"/>
        <v>0</v>
      </c>
      <c r="BD185" s="37">
        <f t="shared" si="176"/>
        <v>0</v>
      </c>
      <c r="BE185" s="37">
        <v>0</v>
      </c>
      <c r="BF185" s="37">
        <f>185</f>
        <v>185</v>
      </c>
      <c r="BH185" s="37">
        <f t="shared" si="177"/>
        <v>0</v>
      </c>
      <c r="BI185" s="37">
        <f t="shared" si="178"/>
        <v>0</v>
      </c>
      <c r="BJ185" s="37">
        <f t="shared" si="179"/>
        <v>0</v>
      </c>
      <c r="BK185" s="37"/>
      <c r="BL185" s="37">
        <v>762</v>
      </c>
      <c r="BW185" s="37">
        <v>21</v>
      </c>
      <c r="BX185" s="3" t="s">
        <v>676</v>
      </c>
    </row>
    <row r="186" spans="1:76" x14ac:dyDescent="0.25">
      <c r="A186" s="61" t="s">
        <v>4</v>
      </c>
      <c r="B186" s="62" t="s">
        <v>143</v>
      </c>
      <c r="C186" s="343" t="s">
        <v>144</v>
      </c>
      <c r="D186" s="344"/>
      <c r="E186" s="63" t="s">
        <v>81</v>
      </c>
      <c r="F186" s="63" t="s">
        <v>81</v>
      </c>
      <c r="G186" s="64" t="s">
        <v>81</v>
      </c>
      <c r="H186" s="43">
        <f>SUM(H187:H201)</f>
        <v>0</v>
      </c>
      <c r="I186" s="43">
        <f>SUM(I187:I201)</f>
        <v>0</v>
      </c>
      <c r="J186" s="43">
        <f>SUM(J187:J201)</f>
        <v>0</v>
      </c>
      <c r="K186" s="65" t="s">
        <v>4</v>
      </c>
      <c r="AI186" s="49" t="s">
        <v>89</v>
      </c>
      <c r="AS186" s="43">
        <f>SUM(AJ187:AJ201)</f>
        <v>0</v>
      </c>
      <c r="AT186" s="43">
        <f>SUM(AK187:AK201)</f>
        <v>0</v>
      </c>
      <c r="AU186" s="43">
        <f>SUM(AL187:AL201)</f>
        <v>0</v>
      </c>
    </row>
    <row r="187" spans="1:76" ht="25.5" x14ac:dyDescent="0.25">
      <c r="A187" s="1" t="s">
        <v>677</v>
      </c>
      <c r="B187" s="2" t="s">
        <v>678</v>
      </c>
      <c r="C187" s="258" t="s">
        <v>679</v>
      </c>
      <c r="D187" s="259"/>
      <c r="E187" s="2" t="s">
        <v>313</v>
      </c>
      <c r="F187" s="37">
        <v>26.9</v>
      </c>
      <c r="G187" s="66">
        <v>0</v>
      </c>
      <c r="H187" s="37">
        <f t="shared" ref="H187:H201" si="180">F187*AO187</f>
        <v>0</v>
      </c>
      <c r="I187" s="37">
        <f t="shared" ref="I187:I201" si="181">F187*AP187</f>
        <v>0</v>
      </c>
      <c r="J187" s="37">
        <f t="shared" ref="J187:J201" si="182">F187*G187</f>
        <v>0</v>
      </c>
      <c r="K187" s="67" t="s">
        <v>217</v>
      </c>
      <c r="Z187" s="37">
        <f t="shared" ref="Z187:Z201" si="183">IF(AQ187="5",BJ187,0)</f>
        <v>0</v>
      </c>
      <c r="AB187" s="37">
        <f t="shared" ref="AB187:AB201" si="184">IF(AQ187="1",BH187,0)</f>
        <v>0</v>
      </c>
      <c r="AC187" s="37">
        <f t="shared" ref="AC187:AC201" si="185">IF(AQ187="1",BI187,0)</f>
        <v>0</v>
      </c>
      <c r="AD187" s="37">
        <f t="shared" ref="AD187:AD201" si="186">IF(AQ187="7",BH187,0)</f>
        <v>0</v>
      </c>
      <c r="AE187" s="37">
        <f t="shared" ref="AE187:AE201" si="187">IF(AQ187="7",BI187,0)</f>
        <v>0</v>
      </c>
      <c r="AF187" s="37">
        <f t="shared" ref="AF187:AF201" si="188">IF(AQ187="2",BH187,0)</f>
        <v>0</v>
      </c>
      <c r="AG187" s="37">
        <f t="shared" ref="AG187:AG201" si="189">IF(AQ187="2",BI187,0)</f>
        <v>0</v>
      </c>
      <c r="AH187" s="37">
        <f t="shared" ref="AH187:AH201" si="190">IF(AQ187="0",BJ187,0)</f>
        <v>0</v>
      </c>
      <c r="AI187" s="49" t="s">
        <v>89</v>
      </c>
      <c r="AJ187" s="37">
        <f t="shared" ref="AJ187:AJ201" si="191">IF(AN187=0,J187,0)</f>
        <v>0</v>
      </c>
      <c r="AK187" s="37">
        <f t="shared" ref="AK187:AK201" si="192">IF(AN187=12,J187,0)</f>
        <v>0</v>
      </c>
      <c r="AL187" s="37">
        <f t="shared" ref="AL187:AL201" si="193">IF(AN187=21,J187,0)</f>
        <v>0</v>
      </c>
      <c r="AN187" s="37">
        <v>21</v>
      </c>
      <c r="AO187" s="37">
        <f>G187*0.273490312</f>
        <v>0</v>
      </c>
      <c r="AP187" s="37">
        <f>G187*(1-0.273490312)</f>
        <v>0</v>
      </c>
      <c r="AQ187" s="68" t="s">
        <v>237</v>
      </c>
      <c r="AV187" s="37">
        <f t="shared" ref="AV187:AV201" si="194">AW187+AX187</f>
        <v>0</v>
      </c>
      <c r="AW187" s="37">
        <f t="shared" ref="AW187:AW201" si="195">F187*AO187</f>
        <v>0</v>
      </c>
      <c r="AX187" s="37">
        <f t="shared" ref="AX187:AX201" si="196">F187*AP187</f>
        <v>0</v>
      </c>
      <c r="AY187" s="68" t="s">
        <v>680</v>
      </c>
      <c r="AZ187" s="68" t="s">
        <v>660</v>
      </c>
      <c r="BA187" s="49" t="s">
        <v>220</v>
      </c>
      <c r="BC187" s="37">
        <f t="shared" ref="BC187:BC201" si="197">AW187+AX187</f>
        <v>0</v>
      </c>
      <c r="BD187" s="37">
        <f t="shared" ref="BD187:BD201" si="198">G187/(100-BE187)*100</f>
        <v>0</v>
      </c>
      <c r="BE187" s="37">
        <v>0</v>
      </c>
      <c r="BF187" s="37">
        <f>187</f>
        <v>187</v>
      </c>
      <c r="BH187" s="37">
        <f t="shared" ref="BH187:BH201" si="199">F187*AO187</f>
        <v>0</v>
      </c>
      <c r="BI187" s="37">
        <f t="shared" ref="BI187:BI201" si="200">F187*AP187</f>
        <v>0</v>
      </c>
      <c r="BJ187" s="37">
        <f t="shared" ref="BJ187:BJ201" si="201">F187*G187</f>
        <v>0</v>
      </c>
      <c r="BK187" s="37"/>
      <c r="BL187" s="37">
        <v>764</v>
      </c>
      <c r="BW187" s="37">
        <v>21</v>
      </c>
      <c r="BX187" s="3" t="s">
        <v>679</v>
      </c>
    </row>
    <row r="188" spans="1:76" x14ac:dyDescent="0.25">
      <c r="A188" s="1" t="s">
        <v>681</v>
      </c>
      <c r="B188" s="2" t="s">
        <v>682</v>
      </c>
      <c r="C188" s="258" t="s">
        <v>683</v>
      </c>
      <c r="D188" s="259"/>
      <c r="E188" s="2" t="s">
        <v>313</v>
      </c>
      <c r="F188" s="37">
        <v>12.2</v>
      </c>
      <c r="G188" s="66">
        <v>0</v>
      </c>
      <c r="H188" s="37">
        <f t="shared" si="180"/>
        <v>0</v>
      </c>
      <c r="I188" s="37">
        <f t="shared" si="181"/>
        <v>0</v>
      </c>
      <c r="J188" s="37">
        <f t="shared" si="182"/>
        <v>0</v>
      </c>
      <c r="K188" s="67" t="s">
        <v>217</v>
      </c>
      <c r="Z188" s="37">
        <f t="shared" si="183"/>
        <v>0</v>
      </c>
      <c r="AB188" s="37">
        <f t="shared" si="184"/>
        <v>0</v>
      </c>
      <c r="AC188" s="37">
        <f t="shared" si="185"/>
        <v>0</v>
      </c>
      <c r="AD188" s="37">
        <f t="shared" si="186"/>
        <v>0</v>
      </c>
      <c r="AE188" s="37">
        <f t="shared" si="187"/>
        <v>0</v>
      </c>
      <c r="AF188" s="37">
        <f t="shared" si="188"/>
        <v>0</v>
      </c>
      <c r="AG188" s="37">
        <f t="shared" si="189"/>
        <v>0</v>
      </c>
      <c r="AH188" s="37">
        <f t="shared" si="190"/>
        <v>0</v>
      </c>
      <c r="AI188" s="49" t="s">
        <v>89</v>
      </c>
      <c r="AJ188" s="37">
        <f t="shared" si="191"/>
        <v>0</v>
      </c>
      <c r="AK188" s="37">
        <f t="shared" si="192"/>
        <v>0</v>
      </c>
      <c r="AL188" s="37">
        <f t="shared" si="193"/>
        <v>0</v>
      </c>
      <c r="AN188" s="37">
        <v>21</v>
      </c>
      <c r="AO188" s="37">
        <f>G188*0.026612422</f>
        <v>0</v>
      </c>
      <c r="AP188" s="37">
        <f>G188*(1-0.026612422)</f>
        <v>0</v>
      </c>
      <c r="AQ188" s="68" t="s">
        <v>237</v>
      </c>
      <c r="AV188" s="37">
        <f t="shared" si="194"/>
        <v>0</v>
      </c>
      <c r="AW188" s="37">
        <f t="shared" si="195"/>
        <v>0</v>
      </c>
      <c r="AX188" s="37">
        <f t="shared" si="196"/>
        <v>0</v>
      </c>
      <c r="AY188" s="68" t="s">
        <v>680</v>
      </c>
      <c r="AZ188" s="68" t="s">
        <v>660</v>
      </c>
      <c r="BA188" s="49" t="s">
        <v>220</v>
      </c>
      <c r="BC188" s="37">
        <f t="shared" si="197"/>
        <v>0</v>
      </c>
      <c r="BD188" s="37">
        <f t="shared" si="198"/>
        <v>0</v>
      </c>
      <c r="BE188" s="37">
        <v>0</v>
      </c>
      <c r="BF188" s="37">
        <f>188</f>
        <v>188</v>
      </c>
      <c r="BH188" s="37">
        <f t="shared" si="199"/>
        <v>0</v>
      </c>
      <c r="BI188" s="37">
        <f t="shared" si="200"/>
        <v>0</v>
      </c>
      <c r="BJ188" s="37">
        <f t="shared" si="201"/>
        <v>0</v>
      </c>
      <c r="BK188" s="37"/>
      <c r="BL188" s="37">
        <v>764</v>
      </c>
      <c r="BW188" s="37">
        <v>21</v>
      </c>
      <c r="BX188" s="3" t="s">
        <v>683</v>
      </c>
    </row>
    <row r="189" spans="1:76" x14ac:dyDescent="0.25">
      <c r="A189" s="1" t="s">
        <v>684</v>
      </c>
      <c r="B189" s="2" t="s">
        <v>685</v>
      </c>
      <c r="C189" s="258" t="s">
        <v>686</v>
      </c>
      <c r="D189" s="259"/>
      <c r="E189" s="2" t="s">
        <v>313</v>
      </c>
      <c r="F189" s="37">
        <v>4.3</v>
      </c>
      <c r="G189" s="66">
        <v>0</v>
      </c>
      <c r="H189" s="37">
        <f t="shared" si="180"/>
        <v>0</v>
      </c>
      <c r="I189" s="37">
        <f t="shared" si="181"/>
        <v>0</v>
      </c>
      <c r="J189" s="37">
        <f t="shared" si="182"/>
        <v>0</v>
      </c>
      <c r="K189" s="67" t="s">
        <v>217</v>
      </c>
      <c r="Z189" s="37">
        <f t="shared" si="183"/>
        <v>0</v>
      </c>
      <c r="AB189" s="37">
        <f t="shared" si="184"/>
        <v>0</v>
      </c>
      <c r="AC189" s="37">
        <f t="shared" si="185"/>
        <v>0</v>
      </c>
      <c r="AD189" s="37">
        <f t="shared" si="186"/>
        <v>0</v>
      </c>
      <c r="AE189" s="37">
        <f t="shared" si="187"/>
        <v>0</v>
      </c>
      <c r="AF189" s="37">
        <f t="shared" si="188"/>
        <v>0</v>
      </c>
      <c r="AG189" s="37">
        <f t="shared" si="189"/>
        <v>0</v>
      </c>
      <c r="AH189" s="37">
        <f t="shared" si="190"/>
        <v>0</v>
      </c>
      <c r="AI189" s="49" t="s">
        <v>89</v>
      </c>
      <c r="AJ189" s="37">
        <f t="shared" si="191"/>
        <v>0</v>
      </c>
      <c r="AK189" s="37">
        <f t="shared" si="192"/>
        <v>0</v>
      </c>
      <c r="AL189" s="37">
        <f t="shared" si="193"/>
        <v>0</v>
      </c>
      <c r="AN189" s="37">
        <v>21</v>
      </c>
      <c r="AO189" s="37">
        <f>G189*0.028396947</f>
        <v>0</v>
      </c>
      <c r="AP189" s="37">
        <f>G189*(1-0.028396947)</f>
        <v>0</v>
      </c>
      <c r="AQ189" s="68" t="s">
        <v>237</v>
      </c>
      <c r="AV189" s="37">
        <f t="shared" si="194"/>
        <v>0</v>
      </c>
      <c r="AW189" s="37">
        <f t="shared" si="195"/>
        <v>0</v>
      </c>
      <c r="AX189" s="37">
        <f t="shared" si="196"/>
        <v>0</v>
      </c>
      <c r="AY189" s="68" t="s">
        <v>680</v>
      </c>
      <c r="AZ189" s="68" t="s">
        <v>660</v>
      </c>
      <c r="BA189" s="49" t="s">
        <v>220</v>
      </c>
      <c r="BC189" s="37">
        <f t="shared" si="197"/>
        <v>0</v>
      </c>
      <c r="BD189" s="37">
        <f t="shared" si="198"/>
        <v>0</v>
      </c>
      <c r="BE189" s="37">
        <v>0</v>
      </c>
      <c r="BF189" s="37">
        <f>189</f>
        <v>189</v>
      </c>
      <c r="BH189" s="37">
        <f t="shared" si="199"/>
        <v>0</v>
      </c>
      <c r="BI189" s="37">
        <f t="shared" si="200"/>
        <v>0</v>
      </c>
      <c r="BJ189" s="37">
        <f t="shared" si="201"/>
        <v>0</v>
      </c>
      <c r="BK189" s="37"/>
      <c r="BL189" s="37">
        <v>764</v>
      </c>
      <c r="BW189" s="37">
        <v>21</v>
      </c>
      <c r="BX189" s="3" t="s">
        <v>686</v>
      </c>
    </row>
    <row r="190" spans="1:76" x14ac:dyDescent="0.25">
      <c r="A190" s="1" t="s">
        <v>687</v>
      </c>
      <c r="B190" s="2" t="s">
        <v>688</v>
      </c>
      <c r="C190" s="258" t="s">
        <v>689</v>
      </c>
      <c r="D190" s="259"/>
      <c r="E190" s="2" t="s">
        <v>313</v>
      </c>
      <c r="F190" s="37">
        <v>6.4</v>
      </c>
      <c r="G190" s="66">
        <v>0</v>
      </c>
      <c r="H190" s="37">
        <f t="shared" si="180"/>
        <v>0</v>
      </c>
      <c r="I190" s="37">
        <f t="shared" si="181"/>
        <v>0</v>
      </c>
      <c r="J190" s="37">
        <f t="shared" si="182"/>
        <v>0</v>
      </c>
      <c r="K190" s="67" t="s">
        <v>217</v>
      </c>
      <c r="Z190" s="37">
        <f t="shared" si="183"/>
        <v>0</v>
      </c>
      <c r="AB190" s="37">
        <f t="shared" si="184"/>
        <v>0</v>
      </c>
      <c r="AC190" s="37">
        <f t="shared" si="185"/>
        <v>0</v>
      </c>
      <c r="AD190" s="37">
        <f t="shared" si="186"/>
        <v>0</v>
      </c>
      <c r="AE190" s="37">
        <f t="shared" si="187"/>
        <v>0</v>
      </c>
      <c r="AF190" s="37">
        <f t="shared" si="188"/>
        <v>0</v>
      </c>
      <c r="AG190" s="37">
        <f t="shared" si="189"/>
        <v>0</v>
      </c>
      <c r="AH190" s="37">
        <f t="shared" si="190"/>
        <v>0</v>
      </c>
      <c r="AI190" s="49" t="s">
        <v>89</v>
      </c>
      <c r="AJ190" s="37">
        <f t="shared" si="191"/>
        <v>0</v>
      </c>
      <c r="AK190" s="37">
        <f t="shared" si="192"/>
        <v>0</v>
      </c>
      <c r="AL190" s="37">
        <f t="shared" si="193"/>
        <v>0</v>
      </c>
      <c r="AN190" s="37">
        <v>21</v>
      </c>
      <c r="AO190" s="37">
        <f>G190*0.030306122</f>
        <v>0</v>
      </c>
      <c r="AP190" s="37">
        <f>G190*(1-0.030306122)</f>
        <v>0</v>
      </c>
      <c r="AQ190" s="68" t="s">
        <v>237</v>
      </c>
      <c r="AV190" s="37">
        <f t="shared" si="194"/>
        <v>0</v>
      </c>
      <c r="AW190" s="37">
        <f t="shared" si="195"/>
        <v>0</v>
      </c>
      <c r="AX190" s="37">
        <f t="shared" si="196"/>
        <v>0</v>
      </c>
      <c r="AY190" s="68" t="s">
        <v>680</v>
      </c>
      <c r="AZ190" s="68" t="s">
        <v>660</v>
      </c>
      <c r="BA190" s="49" t="s">
        <v>220</v>
      </c>
      <c r="BC190" s="37">
        <f t="shared" si="197"/>
        <v>0</v>
      </c>
      <c r="BD190" s="37">
        <f t="shared" si="198"/>
        <v>0</v>
      </c>
      <c r="BE190" s="37">
        <v>0</v>
      </c>
      <c r="BF190" s="37">
        <f>190</f>
        <v>190</v>
      </c>
      <c r="BH190" s="37">
        <f t="shared" si="199"/>
        <v>0</v>
      </c>
      <c r="BI190" s="37">
        <f t="shared" si="200"/>
        <v>0</v>
      </c>
      <c r="BJ190" s="37">
        <f t="shared" si="201"/>
        <v>0</v>
      </c>
      <c r="BK190" s="37"/>
      <c r="BL190" s="37">
        <v>764</v>
      </c>
      <c r="BW190" s="37">
        <v>21</v>
      </c>
      <c r="BX190" s="3" t="s">
        <v>689</v>
      </c>
    </row>
    <row r="191" spans="1:76" x14ac:dyDescent="0.25">
      <c r="A191" s="1" t="s">
        <v>690</v>
      </c>
      <c r="B191" s="2" t="s">
        <v>691</v>
      </c>
      <c r="C191" s="258" t="s">
        <v>692</v>
      </c>
      <c r="D191" s="259"/>
      <c r="E191" s="2" t="s">
        <v>313</v>
      </c>
      <c r="F191" s="37">
        <v>4</v>
      </c>
      <c r="G191" s="66">
        <v>0</v>
      </c>
      <c r="H191" s="37">
        <f t="shared" si="180"/>
        <v>0</v>
      </c>
      <c r="I191" s="37">
        <f t="shared" si="181"/>
        <v>0</v>
      </c>
      <c r="J191" s="37">
        <f t="shared" si="182"/>
        <v>0</v>
      </c>
      <c r="K191" s="67" t="s">
        <v>327</v>
      </c>
      <c r="Z191" s="37">
        <f t="shared" si="183"/>
        <v>0</v>
      </c>
      <c r="AB191" s="37">
        <f t="shared" si="184"/>
        <v>0</v>
      </c>
      <c r="AC191" s="37">
        <f t="shared" si="185"/>
        <v>0</v>
      </c>
      <c r="AD191" s="37">
        <f t="shared" si="186"/>
        <v>0</v>
      </c>
      <c r="AE191" s="37">
        <f t="shared" si="187"/>
        <v>0</v>
      </c>
      <c r="AF191" s="37">
        <f t="shared" si="188"/>
        <v>0</v>
      </c>
      <c r="AG191" s="37">
        <f t="shared" si="189"/>
        <v>0</v>
      </c>
      <c r="AH191" s="37">
        <f t="shared" si="190"/>
        <v>0</v>
      </c>
      <c r="AI191" s="49" t="s">
        <v>89</v>
      </c>
      <c r="AJ191" s="37">
        <f t="shared" si="191"/>
        <v>0</v>
      </c>
      <c r="AK191" s="37">
        <f t="shared" si="192"/>
        <v>0</v>
      </c>
      <c r="AL191" s="37">
        <f t="shared" si="193"/>
        <v>0</v>
      </c>
      <c r="AN191" s="37">
        <v>21</v>
      </c>
      <c r="AO191" s="37">
        <f>G191*0.035956416</f>
        <v>0</v>
      </c>
      <c r="AP191" s="37">
        <f>G191*(1-0.035956416)</f>
        <v>0</v>
      </c>
      <c r="AQ191" s="68" t="s">
        <v>237</v>
      </c>
      <c r="AV191" s="37">
        <f t="shared" si="194"/>
        <v>0</v>
      </c>
      <c r="AW191" s="37">
        <f t="shared" si="195"/>
        <v>0</v>
      </c>
      <c r="AX191" s="37">
        <f t="shared" si="196"/>
        <v>0</v>
      </c>
      <c r="AY191" s="68" t="s">
        <v>680</v>
      </c>
      <c r="AZ191" s="68" t="s">
        <v>660</v>
      </c>
      <c r="BA191" s="49" t="s">
        <v>220</v>
      </c>
      <c r="BC191" s="37">
        <f t="shared" si="197"/>
        <v>0</v>
      </c>
      <c r="BD191" s="37">
        <f t="shared" si="198"/>
        <v>0</v>
      </c>
      <c r="BE191" s="37">
        <v>0</v>
      </c>
      <c r="BF191" s="37">
        <f>191</f>
        <v>191</v>
      </c>
      <c r="BH191" s="37">
        <f t="shared" si="199"/>
        <v>0</v>
      </c>
      <c r="BI191" s="37">
        <f t="shared" si="200"/>
        <v>0</v>
      </c>
      <c r="BJ191" s="37">
        <f t="shared" si="201"/>
        <v>0</v>
      </c>
      <c r="BK191" s="37"/>
      <c r="BL191" s="37">
        <v>764</v>
      </c>
      <c r="BW191" s="37">
        <v>21</v>
      </c>
      <c r="BX191" s="3" t="s">
        <v>692</v>
      </c>
    </row>
    <row r="192" spans="1:76" x14ac:dyDescent="0.25">
      <c r="A192" s="1" t="s">
        <v>693</v>
      </c>
      <c r="B192" s="2" t="s">
        <v>694</v>
      </c>
      <c r="C192" s="258" t="s">
        <v>695</v>
      </c>
      <c r="D192" s="259"/>
      <c r="E192" s="2" t="s">
        <v>313</v>
      </c>
      <c r="F192" s="37">
        <v>3.2</v>
      </c>
      <c r="G192" s="66">
        <v>0</v>
      </c>
      <c r="H192" s="37">
        <f t="shared" si="180"/>
        <v>0</v>
      </c>
      <c r="I192" s="37">
        <f t="shared" si="181"/>
        <v>0</v>
      </c>
      <c r="J192" s="37">
        <f t="shared" si="182"/>
        <v>0</v>
      </c>
      <c r="K192" s="67" t="s">
        <v>217</v>
      </c>
      <c r="Z192" s="37">
        <f t="shared" si="183"/>
        <v>0</v>
      </c>
      <c r="AB192" s="37">
        <f t="shared" si="184"/>
        <v>0</v>
      </c>
      <c r="AC192" s="37">
        <f t="shared" si="185"/>
        <v>0</v>
      </c>
      <c r="AD192" s="37">
        <f t="shared" si="186"/>
        <v>0</v>
      </c>
      <c r="AE192" s="37">
        <f t="shared" si="187"/>
        <v>0</v>
      </c>
      <c r="AF192" s="37">
        <f t="shared" si="188"/>
        <v>0</v>
      </c>
      <c r="AG192" s="37">
        <f t="shared" si="189"/>
        <v>0</v>
      </c>
      <c r="AH192" s="37">
        <f t="shared" si="190"/>
        <v>0</v>
      </c>
      <c r="AI192" s="49" t="s">
        <v>89</v>
      </c>
      <c r="AJ192" s="37">
        <f t="shared" si="191"/>
        <v>0</v>
      </c>
      <c r="AK192" s="37">
        <f t="shared" si="192"/>
        <v>0</v>
      </c>
      <c r="AL192" s="37">
        <f t="shared" si="193"/>
        <v>0</v>
      </c>
      <c r="AN192" s="37">
        <v>21</v>
      </c>
      <c r="AO192" s="37">
        <f>G192*0.822661208</f>
        <v>0</v>
      </c>
      <c r="AP192" s="37">
        <f>G192*(1-0.822661208)</f>
        <v>0</v>
      </c>
      <c r="AQ192" s="68" t="s">
        <v>237</v>
      </c>
      <c r="AV192" s="37">
        <f t="shared" si="194"/>
        <v>0</v>
      </c>
      <c r="AW192" s="37">
        <f t="shared" si="195"/>
        <v>0</v>
      </c>
      <c r="AX192" s="37">
        <f t="shared" si="196"/>
        <v>0</v>
      </c>
      <c r="AY192" s="68" t="s">
        <v>680</v>
      </c>
      <c r="AZ192" s="68" t="s">
        <v>660</v>
      </c>
      <c r="BA192" s="49" t="s">
        <v>220</v>
      </c>
      <c r="BC192" s="37">
        <f t="shared" si="197"/>
        <v>0</v>
      </c>
      <c r="BD192" s="37">
        <f t="shared" si="198"/>
        <v>0</v>
      </c>
      <c r="BE192" s="37">
        <v>0</v>
      </c>
      <c r="BF192" s="37">
        <f>192</f>
        <v>192</v>
      </c>
      <c r="BH192" s="37">
        <f t="shared" si="199"/>
        <v>0</v>
      </c>
      <c r="BI192" s="37">
        <f t="shared" si="200"/>
        <v>0</v>
      </c>
      <c r="BJ192" s="37">
        <f t="shared" si="201"/>
        <v>0</v>
      </c>
      <c r="BK192" s="37"/>
      <c r="BL192" s="37">
        <v>764</v>
      </c>
      <c r="BW192" s="37">
        <v>21</v>
      </c>
      <c r="BX192" s="3" t="s">
        <v>695</v>
      </c>
    </row>
    <row r="193" spans="1:76" x14ac:dyDescent="0.25">
      <c r="A193" s="1" t="s">
        <v>696</v>
      </c>
      <c r="B193" s="2" t="s">
        <v>697</v>
      </c>
      <c r="C193" s="258" t="s">
        <v>698</v>
      </c>
      <c r="D193" s="259"/>
      <c r="E193" s="2" t="s">
        <v>313</v>
      </c>
      <c r="F193" s="37">
        <v>6.3</v>
      </c>
      <c r="G193" s="66">
        <v>0</v>
      </c>
      <c r="H193" s="37">
        <f t="shared" si="180"/>
        <v>0</v>
      </c>
      <c r="I193" s="37">
        <f t="shared" si="181"/>
        <v>0</v>
      </c>
      <c r="J193" s="37">
        <f t="shared" si="182"/>
        <v>0</v>
      </c>
      <c r="K193" s="67" t="s">
        <v>217</v>
      </c>
      <c r="Z193" s="37">
        <f t="shared" si="183"/>
        <v>0</v>
      </c>
      <c r="AB193" s="37">
        <f t="shared" si="184"/>
        <v>0</v>
      </c>
      <c r="AC193" s="37">
        <f t="shared" si="185"/>
        <v>0</v>
      </c>
      <c r="AD193" s="37">
        <f t="shared" si="186"/>
        <v>0</v>
      </c>
      <c r="AE193" s="37">
        <f t="shared" si="187"/>
        <v>0</v>
      </c>
      <c r="AF193" s="37">
        <f t="shared" si="188"/>
        <v>0</v>
      </c>
      <c r="AG193" s="37">
        <f t="shared" si="189"/>
        <v>0</v>
      </c>
      <c r="AH193" s="37">
        <f t="shared" si="190"/>
        <v>0</v>
      </c>
      <c r="AI193" s="49" t="s">
        <v>89</v>
      </c>
      <c r="AJ193" s="37">
        <f t="shared" si="191"/>
        <v>0</v>
      </c>
      <c r="AK193" s="37">
        <f t="shared" si="192"/>
        <v>0</v>
      </c>
      <c r="AL193" s="37">
        <f t="shared" si="193"/>
        <v>0</v>
      </c>
      <c r="AN193" s="37">
        <v>21</v>
      </c>
      <c r="AO193" s="37">
        <f>G193*0.827548424</f>
        <v>0</v>
      </c>
      <c r="AP193" s="37">
        <f>G193*(1-0.827548424)</f>
        <v>0</v>
      </c>
      <c r="AQ193" s="68" t="s">
        <v>237</v>
      </c>
      <c r="AV193" s="37">
        <f t="shared" si="194"/>
        <v>0</v>
      </c>
      <c r="AW193" s="37">
        <f t="shared" si="195"/>
        <v>0</v>
      </c>
      <c r="AX193" s="37">
        <f t="shared" si="196"/>
        <v>0</v>
      </c>
      <c r="AY193" s="68" t="s">
        <v>680</v>
      </c>
      <c r="AZ193" s="68" t="s">
        <v>660</v>
      </c>
      <c r="BA193" s="49" t="s">
        <v>220</v>
      </c>
      <c r="BC193" s="37">
        <f t="shared" si="197"/>
        <v>0</v>
      </c>
      <c r="BD193" s="37">
        <f t="shared" si="198"/>
        <v>0</v>
      </c>
      <c r="BE193" s="37">
        <v>0</v>
      </c>
      <c r="BF193" s="37">
        <f>193</f>
        <v>193</v>
      </c>
      <c r="BH193" s="37">
        <f t="shared" si="199"/>
        <v>0</v>
      </c>
      <c r="BI193" s="37">
        <f t="shared" si="200"/>
        <v>0</v>
      </c>
      <c r="BJ193" s="37">
        <f t="shared" si="201"/>
        <v>0</v>
      </c>
      <c r="BK193" s="37"/>
      <c r="BL193" s="37">
        <v>764</v>
      </c>
      <c r="BW193" s="37">
        <v>21</v>
      </c>
      <c r="BX193" s="3" t="s">
        <v>698</v>
      </c>
    </row>
    <row r="194" spans="1:76" x14ac:dyDescent="0.25">
      <c r="A194" s="1" t="s">
        <v>699</v>
      </c>
      <c r="B194" s="2" t="s">
        <v>700</v>
      </c>
      <c r="C194" s="258" t="s">
        <v>701</v>
      </c>
      <c r="D194" s="259"/>
      <c r="E194" s="2" t="s">
        <v>309</v>
      </c>
      <c r="F194" s="37">
        <v>8</v>
      </c>
      <c r="G194" s="66">
        <v>0</v>
      </c>
      <c r="H194" s="37">
        <f t="shared" si="180"/>
        <v>0</v>
      </c>
      <c r="I194" s="37">
        <f t="shared" si="181"/>
        <v>0</v>
      </c>
      <c r="J194" s="37">
        <f t="shared" si="182"/>
        <v>0</v>
      </c>
      <c r="K194" s="67" t="s">
        <v>217</v>
      </c>
      <c r="Z194" s="37">
        <f t="shared" si="183"/>
        <v>0</v>
      </c>
      <c r="AB194" s="37">
        <f t="shared" si="184"/>
        <v>0</v>
      </c>
      <c r="AC194" s="37">
        <f t="shared" si="185"/>
        <v>0</v>
      </c>
      <c r="AD194" s="37">
        <f t="shared" si="186"/>
        <v>0</v>
      </c>
      <c r="AE194" s="37">
        <f t="shared" si="187"/>
        <v>0</v>
      </c>
      <c r="AF194" s="37">
        <f t="shared" si="188"/>
        <v>0</v>
      </c>
      <c r="AG194" s="37">
        <f t="shared" si="189"/>
        <v>0</v>
      </c>
      <c r="AH194" s="37">
        <f t="shared" si="190"/>
        <v>0</v>
      </c>
      <c r="AI194" s="49" t="s">
        <v>89</v>
      </c>
      <c r="AJ194" s="37">
        <f t="shared" si="191"/>
        <v>0</v>
      </c>
      <c r="AK194" s="37">
        <f t="shared" si="192"/>
        <v>0</v>
      </c>
      <c r="AL194" s="37">
        <f t="shared" si="193"/>
        <v>0</v>
      </c>
      <c r="AN194" s="37">
        <v>21</v>
      </c>
      <c r="AO194" s="37">
        <f>G194*0.241142857</f>
        <v>0</v>
      </c>
      <c r="AP194" s="37">
        <f>G194*(1-0.241142857)</f>
        <v>0</v>
      </c>
      <c r="AQ194" s="68" t="s">
        <v>237</v>
      </c>
      <c r="AV194" s="37">
        <f t="shared" si="194"/>
        <v>0</v>
      </c>
      <c r="AW194" s="37">
        <f t="shared" si="195"/>
        <v>0</v>
      </c>
      <c r="AX194" s="37">
        <f t="shared" si="196"/>
        <v>0</v>
      </c>
      <c r="AY194" s="68" t="s">
        <v>680</v>
      </c>
      <c r="AZ194" s="68" t="s">
        <v>660</v>
      </c>
      <c r="BA194" s="49" t="s">
        <v>220</v>
      </c>
      <c r="BC194" s="37">
        <f t="shared" si="197"/>
        <v>0</v>
      </c>
      <c r="BD194" s="37">
        <f t="shared" si="198"/>
        <v>0</v>
      </c>
      <c r="BE194" s="37">
        <v>0</v>
      </c>
      <c r="BF194" s="37">
        <f>194</f>
        <v>194</v>
      </c>
      <c r="BH194" s="37">
        <f t="shared" si="199"/>
        <v>0</v>
      </c>
      <c r="BI194" s="37">
        <f t="shared" si="200"/>
        <v>0</v>
      </c>
      <c r="BJ194" s="37">
        <f t="shared" si="201"/>
        <v>0</v>
      </c>
      <c r="BK194" s="37"/>
      <c r="BL194" s="37">
        <v>764</v>
      </c>
      <c r="BW194" s="37">
        <v>21</v>
      </c>
      <c r="BX194" s="3" t="s">
        <v>701</v>
      </c>
    </row>
    <row r="195" spans="1:76" x14ac:dyDescent="0.25">
      <c r="A195" s="1" t="s">
        <v>702</v>
      </c>
      <c r="B195" s="2" t="s">
        <v>703</v>
      </c>
      <c r="C195" s="258" t="s">
        <v>704</v>
      </c>
      <c r="D195" s="259"/>
      <c r="E195" s="2" t="s">
        <v>309</v>
      </c>
      <c r="F195" s="37">
        <v>2</v>
      </c>
      <c r="G195" s="66">
        <v>0</v>
      </c>
      <c r="H195" s="37">
        <f t="shared" si="180"/>
        <v>0</v>
      </c>
      <c r="I195" s="37">
        <f t="shared" si="181"/>
        <v>0</v>
      </c>
      <c r="J195" s="37">
        <f t="shared" si="182"/>
        <v>0</v>
      </c>
      <c r="K195" s="67" t="s">
        <v>327</v>
      </c>
      <c r="Z195" s="37">
        <f t="shared" si="183"/>
        <v>0</v>
      </c>
      <c r="AB195" s="37">
        <f t="shared" si="184"/>
        <v>0</v>
      </c>
      <c r="AC195" s="37">
        <f t="shared" si="185"/>
        <v>0</v>
      </c>
      <c r="AD195" s="37">
        <f t="shared" si="186"/>
        <v>0</v>
      </c>
      <c r="AE195" s="37">
        <f t="shared" si="187"/>
        <v>0</v>
      </c>
      <c r="AF195" s="37">
        <f t="shared" si="188"/>
        <v>0</v>
      </c>
      <c r="AG195" s="37">
        <f t="shared" si="189"/>
        <v>0</v>
      </c>
      <c r="AH195" s="37">
        <f t="shared" si="190"/>
        <v>0</v>
      </c>
      <c r="AI195" s="49" t="s">
        <v>89</v>
      </c>
      <c r="AJ195" s="37">
        <f t="shared" si="191"/>
        <v>0</v>
      </c>
      <c r="AK195" s="37">
        <f t="shared" si="192"/>
        <v>0</v>
      </c>
      <c r="AL195" s="37">
        <f t="shared" si="193"/>
        <v>0</v>
      </c>
      <c r="AN195" s="37">
        <v>21</v>
      </c>
      <c r="AO195" s="37">
        <f>G195*1</f>
        <v>0</v>
      </c>
      <c r="AP195" s="37">
        <f>G195*(1-1)</f>
        <v>0</v>
      </c>
      <c r="AQ195" s="68" t="s">
        <v>237</v>
      </c>
      <c r="AV195" s="37">
        <f t="shared" si="194"/>
        <v>0</v>
      </c>
      <c r="AW195" s="37">
        <f t="shared" si="195"/>
        <v>0</v>
      </c>
      <c r="AX195" s="37">
        <f t="shared" si="196"/>
        <v>0</v>
      </c>
      <c r="AY195" s="68" t="s">
        <v>680</v>
      </c>
      <c r="AZ195" s="68" t="s">
        <v>660</v>
      </c>
      <c r="BA195" s="49" t="s">
        <v>220</v>
      </c>
      <c r="BC195" s="37">
        <f t="shared" si="197"/>
        <v>0</v>
      </c>
      <c r="BD195" s="37">
        <f t="shared" si="198"/>
        <v>0</v>
      </c>
      <c r="BE195" s="37">
        <v>0</v>
      </c>
      <c r="BF195" s="37">
        <f>195</f>
        <v>195</v>
      </c>
      <c r="BH195" s="37">
        <f t="shared" si="199"/>
        <v>0</v>
      </c>
      <c r="BI195" s="37">
        <f t="shared" si="200"/>
        <v>0</v>
      </c>
      <c r="BJ195" s="37">
        <f t="shared" si="201"/>
        <v>0</v>
      </c>
      <c r="BK195" s="37"/>
      <c r="BL195" s="37">
        <v>764</v>
      </c>
      <c r="BW195" s="37">
        <v>21</v>
      </c>
      <c r="BX195" s="3" t="s">
        <v>704</v>
      </c>
    </row>
    <row r="196" spans="1:76" x14ac:dyDescent="0.25">
      <c r="A196" s="1" t="s">
        <v>705</v>
      </c>
      <c r="B196" s="2" t="s">
        <v>706</v>
      </c>
      <c r="C196" s="258" t="s">
        <v>707</v>
      </c>
      <c r="D196" s="259"/>
      <c r="E196" s="2" t="s">
        <v>309</v>
      </c>
      <c r="F196" s="37">
        <v>6</v>
      </c>
      <c r="G196" s="66">
        <v>0</v>
      </c>
      <c r="H196" s="37">
        <f t="shared" si="180"/>
        <v>0</v>
      </c>
      <c r="I196" s="37">
        <f t="shared" si="181"/>
        <v>0</v>
      </c>
      <c r="J196" s="37">
        <f t="shared" si="182"/>
        <v>0</v>
      </c>
      <c r="K196" s="67" t="s">
        <v>327</v>
      </c>
      <c r="Z196" s="37">
        <f t="shared" si="183"/>
        <v>0</v>
      </c>
      <c r="AB196" s="37">
        <f t="shared" si="184"/>
        <v>0</v>
      </c>
      <c r="AC196" s="37">
        <f t="shared" si="185"/>
        <v>0</v>
      </c>
      <c r="AD196" s="37">
        <f t="shared" si="186"/>
        <v>0</v>
      </c>
      <c r="AE196" s="37">
        <f t="shared" si="187"/>
        <v>0</v>
      </c>
      <c r="AF196" s="37">
        <f t="shared" si="188"/>
        <v>0</v>
      </c>
      <c r="AG196" s="37">
        <f t="shared" si="189"/>
        <v>0</v>
      </c>
      <c r="AH196" s="37">
        <f t="shared" si="190"/>
        <v>0</v>
      </c>
      <c r="AI196" s="49" t="s">
        <v>89</v>
      </c>
      <c r="AJ196" s="37">
        <f t="shared" si="191"/>
        <v>0</v>
      </c>
      <c r="AK196" s="37">
        <f t="shared" si="192"/>
        <v>0</v>
      </c>
      <c r="AL196" s="37">
        <f t="shared" si="193"/>
        <v>0</v>
      </c>
      <c r="AN196" s="37">
        <v>21</v>
      </c>
      <c r="AO196" s="37">
        <f>G196*1</f>
        <v>0</v>
      </c>
      <c r="AP196" s="37">
        <f>G196*(1-1)</f>
        <v>0</v>
      </c>
      <c r="AQ196" s="68" t="s">
        <v>237</v>
      </c>
      <c r="AV196" s="37">
        <f t="shared" si="194"/>
        <v>0</v>
      </c>
      <c r="AW196" s="37">
        <f t="shared" si="195"/>
        <v>0</v>
      </c>
      <c r="AX196" s="37">
        <f t="shared" si="196"/>
        <v>0</v>
      </c>
      <c r="AY196" s="68" t="s">
        <v>680</v>
      </c>
      <c r="AZ196" s="68" t="s">
        <v>660</v>
      </c>
      <c r="BA196" s="49" t="s">
        <v>220</v>
      </c>
      <c r="BC196" s="37">
        <f t="shared" si="197"/>
        <v>0</v>
      </c>
      <c r="BD196" s="37">
        <f t="shared" si="198"/>
        <v>0</v>
      </c>
      <c r="BE196" s="37">
        <v>0</v>
      </c>
      <c r="BF196" s="37">
        <f>196</f>
        <v>196</v>
      </c>
      <c r="BH196" s="37">
        <f t="shared" si="199"/>
        <v>0</v>
      </c>
      <c r="BI196" s="37">
        <f t="shared" si="200"/>
        <v>0</v>
      </c>
      <c r="BJ196" s="37">
        <f t="shared" si="201"/>
        <v>0</v>
      </c>
      <c r="BK196" s="37"/>
      <c r="BL196" s="37">
        <v>764</v>
      </c>
      <c r="BW196" s="37">
        <v>21</v>
      </c>
      <c r="BX196" s="3" t="s">
        <v>707</v>
      </c>
    </row>
    <row r="197" spans="1:76" x14ac:dyDescent="0.25">
      <c r="A197" s="1" t="s">
        <v>708</v>
      </c>
      <c r="B197" s="2" t="s">
        <v>709</v>
      </c>
      <c r="C197" s="258" t="s">
        <v>710</v>
      </c>
      <c r="D197" s="259"/>
      <c r="E197" s="2" t="s">
        <v>309</v>
      </c>
      <c r="F197" s="37">
        <v>11</v>
      </c>
      <c r="G197" s="66">
        <v>0</v>
      </c>
      <c r="H197" s="37">
        <f t="shared" si="180"/>
        <v>0</v>
      </c>
      <c r="I197" s="37">
        <f t="shared" si="181"/>
        <v>0</v>
      </c>
      <c r="J197" s="37">
        <f t="shared" si="182"/>
        <v>0</v>
      </c>
      <c r="K197" s="67" t="s">
        <v>217</v>
      </c>
      <c r="Z197" s="37">
        <f t="shared" si="183"/>
        <v>0</v>
      </c>
      <c r="AB197" s="37">
        <f t="shared" si="184"/>
        <v>0</v>
      </c>
      <c r="AC197" s="37">
        <f t="shared" si="185"/>
        <v>0</v>
      </c>
      <c r="AD197" s="37">
        <f t="shared" si="186"/>
        <v>0</v>
      </c>
      <c r="AE197" s="37">
        <f t="shared" si="187"/>
        <v>0</v>
      </c>
      <c r="AF197" s="37">
        <f t="shared" si="188"/>
        <v>0</v>
      </c>
      <c r="AG197" s="37">
        <f t="shared" si="189"/>
        <v>0</v>
      </c>
      <c r="AH197" s="37">
        <f t="shared" si="190"/>
        <v>0</v>
      </c>
      <c r="AI197" s="49" t="s">
        <v>89</v>
      </c>
      <c r="AJ197" s="37">
        <f t="shared" si="191"/>
        <v>0</v>
      </c>
      <c r="AK197" s="37">
        <f t="shared" si="192"/>
        <v>0</v>
      </c>
      <c r="AL197" s="37">
        <f t="shared" si="193"/>
        <v>0</v>
      </c>
      <c r="AN197" s="37">
        <v>21</v>
      </c>
      <c r="AO197" s="37">
        <f>G197*0.056122449</f>
        <v>0</v>
      </c>
      <c r="AP197" s="37">
        <f>G197*(1-0.056122449)</f>
        <v>0</v>
      </c>
      <c r="AQ197" s="68" t="s">
        <v>237</v>
      </c>
      <c r="AV197" s="37">
        <f t="shared" si="194"/>
        <v>0</v>
      </c>
      <c r="AW197" s="37">
        <f t="shared" si="195"/>
        <v>0</v>
      </c>
      <c r="AX197" s="37">
        <f t="shared" si="196"/>
        <v>0</v>
      </c>
      <c r="AY197" s="68" t="s">
        <v>680</v>
      </c>
      <c r="AZ197" s="68" t="s">
        <v>660</v>
      </c>
      <c r="BA197" s="49" t="s">
        <v>220</v>
      </c>
      <c r="BC197" s="37">
        <f t="shared" si="197"/>
        <v>0</v>
      </c>
      <c r="BD197" s="37">
        <f t="shared" si="198"/>
        <v>0</v>
      </c>
      <c r="BE197" s="37">
        <v>0</v>
      </c>
      <c r="BF197" s="37">
        <f>197</f>
        <v>197</v>
      </c>
      <c r="BH197" s="37">
        <f t="shared" si="199"/>
        <v>0</v>
      </c>
      <c r="BI197" s="37">
        <f t="shared" si="200"/>
        <v>0</v>
      </c>
      <c r="BJ197" s="37">
        <f t="shared" si="201"/>
        <v>0</v>
      </c>
      <c r="BK197" s="37"/>
      <c r="BL197" s="37">
        <v>764</v>
      </c>
      <c r="BW197" s="37">
        <v>21</v>
      </c>
      <c r="BX197" s="3" t="s">
        <v>710</v>
      </c>
    </row>
    <row r="198" spans="1:76" x14ac:dyDescent="0.25">
      <c r="A198" s="1" t="s">
        <v>711</v>
      </c>
      <c r="B198" s="2" t="s">
        <v>712</v>
      </c>
      <c r="C198" s="258" t="s">
        <v>713</v>
      </c>
      <c r="D198" s="259"/>
      <c r="E198" s="2" t="s">
        <v>309</v>
      </c>
      <c r="F198" s="37">
        <v>7</v>
      </c>
      <c r="G198" s="66">
        <v>0</v>
      </c>
      <c r="H198" s="37">
        <f t="shared" si="180"/>
        <v>0</v>
      </c>
      <c r="I198" s="37">
        <f t="shared" si="181"/>
        <v>0</v>
      </c>
      <c r="J198" s="37">
        <f t="shared" si="182"/>
        <v>0</v>
      </c>
      <c r="K198" s="67" t="s">
        <v>327</v>
      </c>
      <c r="Z198" s="37">
        <f t="shared" si="183"/>
        <v>0</v>
      </c>
      <c r="AB198" s="37">
        <f t="shared" si="184"/>
        <v>0</v>
      </c>
      <c r="AC198" s="37">
        <f t="shared" si="185"/>
        <v>0</v>
      </c>
      <c r="AD198" s="37">
        <f t="shared" si="186"/>
        <v>0</v>
      </c>
      <c r="AE198" s="37">
        <f t="shared" si="187"/>
        <v>0</v>
      </c>
      <c r="AF198" s="37">
        <f t="shared" si="188"/>
        <v>0</v>
      </c>
      <c r="AG198" s="37">
        <f t="shared" si="189"/>
        <v>0</v>
      </c>
      <c r="AH198" s="37">
        <f t="shared" si="190"/>
        <v>0</v>
      </c>
      <c r="AI198" s="49" t="s">
        <v>89</v>
      </c>
      <c r="AJ198" s="37">
        <f t="shared" si="191"/>
        <v>0</v>
      </c>
      <c r="AK198" s="37">
        <f t="shared" si="192"/>
        <v>0</v>
      </c>
      <c r="AL198" s="37">
        <f t="shared" si="193"/>
        <v>0</v>
      </c>
      <c r="AN198" s="37">
        <v>21</v>
      </c>
      <c r="AO198" s="37">
        <f>G198*1</f>
        <v>0</v>
      </c>
      <c r="AP198" s="37">
        <f>G198*(1-1)</f>
        <v>0</v>
      </c>
      <c r="AQ198" s="68" t="s">
        <v>237</v>
      </c>
      <c r="AV198" s="37">
        <f t="shared" si="194"/>
        <v>0</v>
      </c>
      <c r="AW198" s="37">
        <f t="shared" si="195"/>
        <v>0</v>
      </c>
      <c r="AX198" s="37">
        <f t="shared" si="196"/>
        <v>0</v>
      </c>
      <c r="AY198" s="68" t="s">
        <v>680</v>
      </c>
      <c r="AZ198" s="68" t="s">
        <v>660</v>
      </c>
      <c r="BA198" s="49" t="s">
        <v>220</v>
      </c>
      <c r="BC198" s="37">
        <f t="shared" si="197"/>
        <v>0</v>
      </c>
      <c r="BD198" s="37">
        <f t="shared" si="198"/>
        <v>0</v>
      </c>
      <c r="BE198" s="37">
        <v>0</v>
      </c>
      <c r="BF198" s="37">
        <f>198</f>
        <v>198</v>
      </c>
      <c r="BH198" s="37">
        <f t="shared" si="199"/>
        <v>0</v>
      </c>
      <c r="BI198" s="37">
        <f t="shared" si="200"/>
        <v>0</v>
      </c>
      <c r="BJ198" s="37">
        <f t="shared" si="201"/>
        <v>0</v>
      </c>
      <c r="BK198" s="37"/>
      <c r="BL198" s="37">
        <v>764</v>
      </c>
      <c r="BW198" s="37">
        <v>21</v>
      </c>
      <c r="BX198" s="3" t="s">
        <v>713</v>
      </c>
    </row>
    <row r="199" spans="1:76" x14ac:dyDescent="0.25">
      <c r="A199" s="1" t="s">
        <v>714</v>
      </c>
      <c r="B199" s="2" t="s">
        <v>715</v>
      </c>
      <c r="C199" s="258" t="s">
        <v>716</v>
      </c>
      <c r="D199" s="259"/>
      <c r="E199" s="2" t="s">
        <v>309</v>
      </c>
      <c r="F199" s="37">
        <v>4</v>
      </c>
      <c r="G199" s="66">
        <v>0</v>
      </c>
      <c r="H199" s="37">
        <f t="shared" si="180"/>
        <v>0</v>
      </c>
      <c r="I199" s="37">
        <f t="shared" si="181"/>
        <v>0</v>
      </c>
      <c r="J199" s="37">
        <f t="shared" si="182"/>
        <v>0</v>
      </c>
      <c r="K199" s="67" t="s">
        <v>327</v>
      </c>
      <c r="Z199" s="37">
        <f t="shared" si="183"/>
        <v>0</v>
      </c>
      <c r="AB199" s="37">
        <f t="shared" si="184"/>
        <v>0</v>
      </c>
      <c r="AC199" s="37">
        <f t="shared" si="185"/>
        <v>0</v>
      </c>
      <c r="AD199" s="37">
        <f t="shared" si="186"/>
        <v>0</v>
      </c>
      <c r="AE199" s="37">
        <f t="shared" si="187"/>
        <v>0</v>
      </c>
      <c r="AF199" s="37">
        <f t="shared" si="188"/>
        <v>0</v>
      </c>
      <c r="AG199" s="37">
        <f t="shared" si="189"/>
        <v>0</v>
      </c>
      <c r="AH199" s="37">
        <f t="shared" si="190"/>
        <v>0</v>
      </c>
      <c r="AI199" s="49" t="s">
        <v>89</v>
      </c>
      <c r="AJ199" s="37">
        <f t="shared" si="191"/>
        <v>0</v>
      </c>
      <c r="AK199" s="37">
        <f t="shared" si="192"/>
        <v>0</v>
      </c>
      <c r="AL199" s="37">
        <f t="shared" si="193"/>
        <v>0</v>
      </c>
      <c r="AN199" s="37">
        <v>21</v>
      </c>
      <c r="AO199" s="37">
        <f>G199*1</f>
        <v>0</v>
      </c>
      <c r="AP199" s="37">
        <f>G199*(1-1)</f>
        <v>0</v>
      </c>
      <c r="AQ199" s="68" t="s">
        <v>237</v>
      </c>
      <c r="AV199" s="37">
        <f t="shared" si="194"/>
        <v>0</v>
      </c>
      <c r="AW199" s="37">
        <f t="shared" si="195"/>
        <v>0</v>
      </c>
      <c r="AX199" s="37">
        <f t="shared" si="196"/>
        <v>0</v>
      </c>
      <c r="AY199" s="68" t="s">
        <v>680</v>
      </c>
      <c r="AZ199" s="68" t="s">
        <v>660</v>
      </c>
      <c r="BA199" s="49" t="s">
        <v>220</v>
      </c>
      <c r="BC199" s="37">
        <f t="shared" si="197"/>
        <v>0</v>
      </c>
      <c r="BD199" s="37">
        <f t="shared" si="198"/>
        <v>0</v>
      </c>
      <c r="BE199" s="37">
        <v>0</v>
      </c>
      <c r="BF199" s="37">
        <f>199</f>
        <v>199</v>
      </c>
      <c r="BH199" s="37">
        <f t="shared" si="199"/>
        <v>0</v>
      </c>
      <c r="BI199" s="37">
        <f t="shared" si="200"/>
        <v>0</v>
      </c>
      <c r="BJ199" s="37">
        <f t="shared" si="201"/>
        <v>0</v>
      </c>
      <c r="BK199" s="37"/>
      <c r="BL199" s="37">
        <v>764</v>
      </c>
      <c r="BW199" s="37">
        <v>21</v>
      </c>
      <c r="BX199" s="3" t="s">
        <v>716</v>
      </c>
    </row>
    <row r="200" spans="1:76" x14ac:dyDescent="0.25">
      <c r="A200" s="1" t="s">
        <v>717</v>
      </c>
      <c r="B200" s="2" t="s">
        <v>718</v>
      </c>
      <c r="C200" s="258" t="s">
        <v>719</v>
      </c>
      <c r="D200" s="259"/>
      <c r="E200" s="2" t="s">
        <v>251</v>
      </c>
      <c r="F200" s="37">
        <v>8.1719000000000008</v>
      </c>
      <c r="G200" s="66">
        <v>0</v>
      </c>
      <c r="H200" s="37">
        <f t="shared" si="180"/>
        <v>0</v>
      </c>
      <c r="I200" s="37">
        <f t="shared" si="181"/>
        <v>0</v>
      </c>
      <c r="J200" s="37">
        <f t="shared" si="182"/>
        <v>0</v>
      </c>
      <c r="K200" s="67" t="s">
        <v>217</v>
      </c>
      <c r="Z200" s="37">
        <f t="shared" si="183"/>
        <v>0</v>
      </c>
      <c r="AB200" s="37">
        <f t="shared" si="184"/>
        <v>0</v>
      </c>
      <c r="AC200" s="37">
        <f t="shared" si="185"/>
        <v>0</v>
      </c>
      <c r="AD200" s="37">
        <f t="shared" si="186"/>
        <v>0</v>
      </c>
      <c r="AE200" s="37">
        <f t="shared" si="187"/>
        <v>0</v>
      </c>
      <c r="AF200" s="37">
        <f t="shared" si="188"/>
        <v>0</v>
      </c>
      <c r="AG200" s="37">
        <f t="shared" si="189"/>
        <v>0</v>
      </c>
      <c r="AH200" s="37">
        <f t="shared" si="190"/>
        <v>0</v>
      </c>
      <c r="AI200" s="49" t="s">
        <v>89</v>
      </c>
      <c r="AJ200" s="37">
        <f t="shared" si="191"/>
        <v>0</v>
      </c>
      <c r="AK200" s="37">
        <f t="shared" si="192"/>
        <v>0</v>
      </c>
      <c r="AL200" s="37">
        <f t="shared" si="193"/>
        <v>0</v>
      </c>
      <c r="AN200" s="37">
        <v>21</v>
      </c>
      <c r="AO200" s="37">
        <f>G200*0.289199946</f>
        <v>0</v>
      </c>
      <c r="AP200" s="37">
        <f>G200*(1-0.289199946)</f>
        <v>0</v>
      </c>
      <c r="AQ200" s="68" t="s">
        <v>237</v>
      </c>
      <c r="AV200" s="37">
        <f t="shared" si="194"/>
        <v>0</v>
      </c>
      <c r="AW200" s="37">
        <f t="shared" si="195"/>
        <v>0</v>
      </c>
      <c r="AX200" s="37">
        <f t="shared" si="196"/>
        <v>0</v>
      </c>
      <c r="AY200" s="68" t="s">
        <v>680</v>
      </c>
      <c r="AZ200" s="68" t="s">
        <v>660</v>
      </c>
      <c r="BA200" s="49" t="s">
        <v>220</v>
      </c>
      <c r="BC200" s="37">
        <f t="shared" si="197"/>
        <v>0</v>
      </c>
      <c r="BD200" s="37">
        <f t="shared" si="198"/>
        <v>0</v>
      </c>
      <c r="BE200" s="37">
        <v>0</v>
      </c>
      <c r="BF200" s="37">
        <f>200</f>
        <v>200</v>
      </c>
      <c r="BH200" s="37">
        <f t="shared" si="199"/>
        <v>0</v>
      </c>
      <c r="BI200" s="37">
        <f t="shared" si="200"/>
        <v>0</v>
      </c>
      <c r="BJ200" s="37">
        <f t="shared" si="201"/>
        <v>0</v>
      </c>
      <c r="BK200" s="37"/>
      <c r="BL200" s="37">
        <v>764</v>
      </c>
      <c r="BW200" s="37">
        <v>21</v>
      </c>
      <c r="BX200" s="3" t="s">
        <v>719</v>
      </c>
    </row>
    <row r="201" spans="1:76" x14ac:dyDescent="0.25">
      <c r="A201" s="1" t="s">
        <v>720</v>
      </c>
      <c r="B201" s="2" t="s">
        <v>721</v>
      </c>
      <c r="C201" s="258" t="s">
        <v>722</v>
      </c>
      <c r="D201" s="259"/>
      <c r="E201" s="2" t="s">
        <v>63</v>
      </c>
      <c r="F201" s="37">
        <v>695.23500000000001</v>
      </c>
      <c r="G201" s="66">
        <v>0</v>
      </c>
      <c r="H201" s="37">
        <f t="shared" si="180"/>
        <v>0</v>
      </c>
      <c r="I201" s="37">
        <f t="shared" si="181"/>
        <v>0</v>
      </c>
      <c r="J201" s="37">
        <f t="shared" si="182"/>
        <v>0</v>
      </c>
      <c r="K201" s="67" t="s">
        <v>217</v>
      </c>
      <c r="Z201" s="37">
        <f t="shared" si="183"/>
        <v>0</v>
      </c>
      <c r="AB201" s="37">
        <f t="shared" si="184"/>
        <v>0</v>
      </c>
      <c r="AC201" s="37">
        <f t="shared" si="185"/>
        <v>0</v>
      </c>
      <c r="AD201" s="37">
        <f t="shared" si="186"/>
        <v>0</v>
      </c>
      <c r="AE201" s="37">
        <f t="shared" si="187"/>
        <v>0</v>
      </c>
      <c r="AF201" s="37">
        <f t="shared" si="188"/>
        <v>0</v>
      </c>
      <c r="AG201" s="37">
        <f t="shared" si="189"/>
        <v>0</v>
      </c>
      <c r="AH201" s="37">
        <f t="shared" si="190"/>
        <v>0</v>
      </c>
      <c r="AI201" s="49" t="s">
        <v>89</v>
      </c>
      <c r="AJ201" s="37">
        <f t="shared" si="191"/>
        <v>0</v>
      </c>
      <c r="AK201" s="37">
        <f t="shared" si="192"/>
        <v>0</v>
      </c>
      <c r="AL201" s="37">
        <f t="shared" si="193"/>
        <v>0</v>
      </c>
      <c r="AN201" s="37">
        <v>21</v>
      </c>
      <c r="AO201" s="37">
        <f>G201*0</f>
        <v>0</v>
      </c>
      <c r="AP201" s="37">
        <f>G201*(1-0)</f>
        <v>0</v>
      </c>
      <c r="AQ201" s="68" t="s">
        <v>231</v>
      </c>
      <c r="AV201" s="37">
        <f t="shared" si="194"/>
        <v>0</v>
      </c>
      <c r="AW201" s="37">
        <f t="shared" si="195"/>
        <v>0</v>
      </c>
      <c r="AX201" s="37">
        <f t="shared" si="196"/>
        <v>0</v>
      </c>
      <c r="AY201" s="68" t="s">
        <v>680</v>
      </c>
      <c r="AZ201" s="68" t="s">
        <v>660</v>
      </c>
      <c r="BA201" s="49" t="s">
        <v>220</v>
      </c>
      <c r="BC201" s="37">
        <f t="shared" si="197"/>
        <v>0</v>
      </c>
      <c r="BD201" s="37">
        <f t="shared" si="198"/>
        <v>0</v>
      </c>
      <c r="BE201" s="37">
        <v>0</v>
      </c>
      <c r="BF201" s="37">
        <f>201</f>
        <v>201</v>
      </c>
      <c r="BH201" s="37">
        <f t="shared" si="199"/>
        <v>0</v>
      </c>
      <c r="BI201" s="37">
        <f t="shared" si="200"/>
        <v>0</v>
      </c>
      <c r="BJ201" s="37">
        <f t="shared" si="201"/>
        <v>0</v>
      </c>
      <c r="BK201" s="37"/>
      <c r="BL201" s="37">
        <v>764</v>
      </c>
      <c r="BW201" s="37">
        <v>21</v>
      </c>
      <c r="BX201" s="3" t="s">
        <v>722</v>
      </c>
    </row>
    <row r="202" spans="1:76" x14ac:dyDescent="0.25">
      <c r="A202" s="61" t="s">
        <v>4</v>
      </c>
      <c r="B202" s="62" t="s">
        <v>145</v>
      </c>
      <c r="C202" s="343" t="s">
        <v>146</v>
      </c>
      <c r="D202" s="344"/>
      <c r="E202" s="63" t="s">
        <v>81</v>
      </c>
      <c r="F202" s="63" t="s">
        <v>81</v>
      </c>
      <c r="G202" s="64" t="s">
        <v>81</v>
      </c>
      <c r="H202" s="43">
        <f>SUM(H203:H233)</f>
        <v>0</v>
      </c>
      <c r="I202" s="43">
        <f>SUM(I203:I233)</f>
        <v>0</v>
      </c>
      <c r="J202" s="43">
        <f>SUM(J203:J233)</f>
        <v>0</v>
      </c>
      <c r="K202" s="65" t="s">
        <v>4</v>
      </c>
      <c r="AI202" s="49" t="s">
        <v>89</v>
      </c>
      <c r="AS202" s="43">
        <f>SUM(AJ203:AJ233)</f>
        <v>0</v>
      </c>
      <c r="AT202" s="43">
        <f>SUM(AK203:AK233)</f>
        <v>0</v>
      </c>
      <c r="AU202" s="43">
        <f>SUM(AL203:AL233)</f>
        <v>0</v>
      </c>
    </row>
    <row r="203" spans="1:76" x14ac:dyDescent="0.25">
      <c r="A203" s="1" t="s">
        <v>723</v>
      </c>
      <c r="B203" s="2" t="s">
        <v>724</v>
      </c>
      <c r="C203" s="258" t="s">
        <v>725</v>
      </c>
      <c r="D203" s="259"/>
      <c r="E203" s="2" t="s">
        <v>309</v>
      </c>
      <c r="F203" s="37">
        <v>6</v>
      </c>
      <c r="G203" s="66">
        <v>0</v>
      </c>
      <c r="H203" s="37">
        <f t="shared" ref="H203:H233" si="202">F203*AO203</f>
        <v>0</v>
      </c>
      <c r="I203" s="37">
        <f t="shared" ref="I203:I233" si="203">F203*AP203</f>
        <v>0</v>
      </c>
      <c r="J203" s="37">
        <f t="shared" ref="J203:J233" si="204">F203*G203</f>
        <v>0</v>
      </c>
      <c r="K203" s="67" t="s">
        <v>217</v>
      </c>
      <c r="Z203" s="37">
        <f t="shared" ref="Z203:Z233" si="205">IF(AQ203="5",BJ203,0)</f>
        <v>0</v>
      </c>
      <c r="AB203" s="37">
        <f t="shared" ref="AB203:AB233" si="206">IF(AQ203="1",BH203,0)</f>
        <v>0</v>
      </c>
      <c r="AC203" s="37">
        <f t="shared" ref="AC203:AC233" si="207">IF(AQ203="1",BI203,0)</f>
        <v>0</v>
      </c>
      <c r="AD203" s="37">
        <f t="shared" ref="AD203:AD233" si="208">IF(AQ203="7",BH203,0)</f>
        <v>0</v>
      </c>
      <c r="AE203" s="37">
        <f t="shared" ref="AE203:AE233" si="209">IF(AQ203="7",BI203,0)</f>
        <v>0</v>
      </c>
      <c r="AF203" s="37">
        <f t="shared" ref="AF203:AF233" si="210">IF(AQ203="2",BH203,0)</f>
        <v>0</v>
      </c>
      <c r="AG203" s="37">
        <f t="shared" ref="AG203:AG233" si="211">IF(AQ203="2",BI203,0)</f>
        <v>0</v>
      </c>
      <c r="AH203" s="37">
        <f t="shared" ref="AH203:AH233" si="212">IF(AQ203="0",BJ203,0)</f>
        <v>0</v>
      </c>
      <c r="AI203" s="49" t="s">
        <v>89</v>
      </c>
      <c r="AJ203" s="37">
        <f t="shared" ref="AJ203:AJ233" si="213">IF(AN203=0,J203,0)</f>
        <v>0</v>
      </c>
      <c r="AK203" s="37">
        <f t="shared" ref="AK203:AK233" si="214">IF(AN203=12,J203,0)</f>
        <v>0</v>
      </c>
      <c r="AL203" s="37">
        <f t="shared" ref="AL203:AL233" si="215">IF(AN203=21,J203,0)</f>
        <v>0</v>
      </c>
      <c r="AN203" s="37">
        <v>21</v>
      </c>
      <c r="AO203" s="37">
        <f>G203*0.087655123</f>
        <v>0</v>
      </c>
      <c r="AP203" s="37">
        <f>G203*(1-0.087655123)</f>
        <v>0</v>
      </c>
      <c r="AQ203" s="68" t="s">
        <v>237</v>
      </c>
      <c r="AV203" s="37">
        <f t="shared" ref="AV203:AV233" si="216">AW203+AX203</f>
        <v>0</v>
      </c>
      <c r="AW203" s="37">
        <f t="shared" ref="AW203:AW233" si="217">F203*AO203</f>
        <v>0</v>
      </c>
      <c r="AX203" s="37">
        <f t="shared" ref="AX203:AX233" si="218">F203*AP203</f>
        <v>0</v>
      </c>
      <c r="AY203" s="68" t="s">
        <v>726</v>
      </c>
      <c r="AZ203" s="68" t="s">
        <v>660</v>
      </c>
      <c r="BA203" s="49" t="s">
        <v>220</v>
      </c>
      <c r="BC203" s="37">
        <f t="shared" ref="BC203:BC233" si="219">AW203+AX203</f>
        <v>0</v>
      </c>
      <c r="BD203" s="37">
        <f t="shared" ref="BD203:BD233" si="220">G203/(100-BE203)*100</f>
        <v>0</v>
      </c>
      <c r="BE203" s="37">
        <v>0</v>
      </c>
      <c r="BF203" s="37">
        <f>203</f>
        <v>203</v>
      </c>
      <c r="BH203" s="37">
        <f t="shared" ref="BH203:BH233" si="221">F203*AO203</f>
        <v>0</v>
      </c>
      <c r="BI203" s="37">
        <f t="shared" ref="BI203:BI233" si="222">F203*AP203</f>
        <v>0</v>
      </c>
      <c r="BJ203" s="37">
        <f t="shared" ref="BJ203:BJ233" si="223">F203*G203</f>
        <v>0</v>
      </c>
      <c r="BK203" s="37"/>
      <c r="BL203" s="37">
        <v>766</v>
      </c>
      <c r="BW203" s="37">
        <v>21</v>
      </c>
      <c r="BX203" s="3" t="s">
        <v>725</v>
      </c>
    </row>
    <row r="204" spans="1:76" x14ac:dyDescent="0.25">
      <c r="A204" s="1" t="s">
        <v>727</v>
      </c>
      <c r="B204" s="2" t="s">
        <v>728</v>
      </c>
      <c r="C204" s="258" t="s">
        <v>729</v>
      </c>
      <c r="D204" s="259"/>
      <c r="E204" s="2" t="s">
        <v>309</v>
      </c>
      <c r="F204" s="37">
        <v>1</v>
      </c>
      <c r="G204" s="66">
        <v>0</v>
      </c>
      <c r="H204" s="37">
        <f t="shared" si="202"/>
        <v>0</v>
      </c>
      <c r="I204" s="37">
        <f t="shared" si="203"/>
        <v>0</v>
      </c>
      <c r="J204" s="37">
        <f t="shared" si="204"/>
        <v>0</v>
      </c>
      <c r="K204" s="67" t="s">
        <v>327</v>
      </c>
      <c r="Z204" s="37">
        <f t="shared" si="205"/>
        <v>0</v>
      </c>
      <c r="AB204" s="37">
        <f t="shared" si="206"/>
        <v>0</v>
      </c>
      <c r="AC204" s="37">
        <f t="shared" si="207"/>
        <v>0</v>
      </c>
      <c r="AD204" s="37">
        <f t="shared" si="208"/>
        <v>0</v>
      </c>
      <c r="AE204" s="37">
        <f t="shared" si="209"/>
        <v>0</v>
      </c>
      <c r="AF204" s="37">
        <f t="shared" si="210"/>
        <v>0</v>
      </c>
      <c r="AG204" s="37">
        <f t="shared" si="211"/>
        <v>0</v>
      </c>
      <c r="AH204" s="37">
        <f t="shared" si="212"/>
        <v>0</v>
      </c>
      <c r="AI204" s="49" t="s">
        <v>89</v>
      </c>
      <c r="AJ204" s="37">
        <f t="shared" si="213"/>
        <v>0</v>
      </c>
      <c r="AK204" s="37">
        <f t="shared" si="214"/>
        <v>0</v>
      </c>
      <c r="AL204" s="37">
        <f t="shared" si="215"/>
        <v>0</v>
      </c>
      <c r="AN204" s="37">
        <v>21</v>
      </c>
      <c r="AO204" s="37">
        <f t="shared" ref="AO204:AO209" si="224">G204*1</f>
        <v>0</v>
      </c>
      <c r="AP204" s="37">
        <f t="shared" ref="AP204:AP209" si="225">G204*(1-1)</f>
        <v>0</v>
      </c>
      <c r="AQ204" s="68" t="s">
        <v>237</v>
      </c>
      <c r="AV204" s="37">
        <f t="shared" si="216"/>
        <v>0</v>
      </c>
      <c r="AW204" s="37">
        <f t="shared" si="217"/>
        <v>0</v>
      </c>
      <c r="AX204" s="37">
        <f t="shared" si="218"/>
        <v>0</v>
      </c>
      <c r="AY204" s="68" t="s">
        <v>726</v>
      </c>
      <c r="AZ204" s="68" t="s">
        <v>660</v>
      </c>
      <c r="BA204" s="49" t="s">
        <v>220</v>
      </c>
      <c r="BC204" s="37">
        <f t="shared" si="219"/>
        <v>0</v>
      </c>
      <c r="BD204" s="37">
        <f t="shared" si="220"/>
        <v>0</v>
      </c>
      <c r="BE204" s="37">
        <v>0</v>
      </c>
      <c r="BF204" s="37">
        <f>204</f>
        <v>204</v>
      </c>
      <c r="BH204" s="37">
        <f t="shared" si="221"/>
        <v>0</v>
      </c>
      <c r="BI204" s="37">
        <f t="shared" si="222"/>
        <v>0</v>
      </c>
      <c r="BJ204" s="37">
        <f t="shared" si="223"/>
        <v>0</v>
      </c>
      <c r="BK204" s="37"/>
      <c r="BL204" s="37">
        <v>766</v>
      </c>
      <c r="BW204" s="37">
        <v>21</v>
      </c>
      <c r="BX204" s="3" t="s">
        <v>729</v>
      </c>
    </row>
    <row r="205" spans="1:76" x14ac:dyDescent="0.25">
      <c r="A205" s="1" t="s">
        <v>730</v>
      </c>
      <c r="B205" s="2" t="s">
        <v>731</v>
      </c>
      <c r="C205" s="258" t="s">
        <v>732</v>
      </c>
      <c r="D205" s="259"/>
      <c r="E205" s="2" t="s">
        <v>309</v>
      </c>
      <c r="F205" s="37">
        <v>1</v>
      </c>
      <c r="G205" s="66">
        <v>0</v>
      </c>
      <c r="H205" s="37">
        <f t="shared" si="202"/>
        <v>0</v>
      </c>
      <c r="I205" s="37">
        <f t="shared" si="203"/>
        <v>0</v>
      </c>
      <c r="J205" s="37">
        <f t="shared" si="204"/>
        <v>0</v>
      </c>
      <c r="K205" s="67" t="s">
        <v>327</v>
      </c>
      <c r="Z205" s="37">
        <f t="shared" si="205"/>
        <v>0</v>
      </c>
      <c r="AB205" s="37">
        <f t="shared" si="206"/>
        <v>0</v>
      </c>
      <c r="AC205" s="37">
        <f t="shared" si="207"/>
        <v>0</v>
      </c>
      <c r="AD205" s="37">
        <f t="shared" si="208"/>
        <v>0</v>
      </c>
      <c r="AE205" s="37">
        <f t="shared" si="209"/>
        <v>0</v>
      </c>
      <c r="AF205" s="37">
        <f t="shared" si="210"/>
        <v>0</v>
      </c>
      <c r="AG205" s="37">
        <f t="shared" si="211"/>
        <v>0</v>
      </c>
      <c r="AH205" s="37">
        <f t="shared" si="212"/>
        <v>0</v>
      </c>
      <c r="AI205" s="49" t="s">
        <v>89</v>
      </c>
      <c r="AJ205" s="37">
        <f t="shared" si="213"/>
        <v>0</v>
      </c>
      <c r="AK205" s="37">
        <f t="shared" si="214"/>
        <v>0</v>
      </c>
      <c r="AL205" s="37">
        <f t="shared" si="215"/>
        <v>0</v>
      </c>
      <c r="AN205" s="37">
        <v>21</v>
      </c>
      <c r="AO205" s="37">
        <f t="shared" si="224"/>
        <v>0</v>
      </c>
      <c r="AP205" s="37">
        <f t="shared" si="225"/>
        <v>0</v>
      </c>
      <c r="AQ205" s="68" t="s">
        <v>237</v>
      </c>
      <c r="AV205" s="37">
        <f t="shared" si="216"/>
        <v>0</v>
      </c>
      <c r="AW205" s="37">
        <f t="shared" si="217"/>
        <v>0</v>
      </c>
      <c r="AX205" s="37">
        <f t="shared" si="218"/>
        <v>0</v>
      </c>
      <c r="AY205" s="68" t="s">
        <v>726</v>
      </c>
      <c r="AZ205" s="68" t="s">
        <v>660</v>
      </c>
      <c r="BA205" s="49" t="s">
        <v>220</v>
      </c>
      <c r="BC205" s="37">
        <f t="shared" si="219"/>
        <v>0</v>
      </c>
      <c r="BD205" s="37">
        <f t="shared" si="220"/>
        <v>0</v>
      </c>
      <c r="BE205" s="37">
        <v>0</v>
      </c>
      <c r="BF205" s="37">
        <f>205</f>
        <v>205</v>
      </c>
      <c r="BH205" s="37">
        <f t="shared" si="221"/>
        <v>0</v>
      </c>
      <c r="BI205" s="37">
        <f t="shared" si="222"/>
        <v>0</v>
      </c>
      <c r="BJ205" s="37">
        <f t="shared" si="223"/>
        <v>0</v>
      </c>
      <c r="BK205" s="37"/>
      <c r="BL205" s="37">
        <v>766</v>
      </c>
      <c r="BW205" s="37">
        <v>21</v>
      </c>
      <c r="BX205" s="3" t="s">
        <v>732</v>
      </c>
    </row>
    <row r="206" spans="1:76" x14ac:dyDescent="0.25">
      <c r="A206" s="1" t="s">
        <v>733</v>
      </c>
      <c r="B206" s="2" t="s">
        <v>734</v>
      </c>
      <c r="C206" s="258" t="s">
        <v>735</v>
      </c>
      <c r="D206" s="259"/>
      <c r="E206" s="2" t="s">
        <v>309</v>
      </c>
      <c r="F206" s="37">
        <v>1</v>
      </c>
      <c r="G206" s="66">
        <v>0</v>
      </c>
      <c r="H206" s="37">
        <f t="shared" si="202"/>
        <v>0</v>
      </c>
      <c r="I206" s="37">
        <f t="shared" si="203"/>
        <v>0</v>
      </c>
      <c r="J206" s="37">
        <f t="shared" si="204"/>
        <v>0</v>
      </c>
      <c r="K206" s="67" t="s">
        <v>327</v>
      </c>
      <c r="Z206" s="37">
        <f t="shared" si="205"/>
        <v>0</v>
      </c>
      <c r="AB206" s="37">
        <f t="shared" si="206"/>
        <v>0</v>
      </c>
      <c r="AC206" s="37">
        <f t="shared" si="207"/>
        <v>0</v>
      </c>
      <c r="AD206" s="37">
        <f t="shared" si="208"/>
        <v>0</v>
      </c>
      <c r="AE206" s="37">
        <f t="shared" si="209"/>
        <v>0</v>
      </c>
      <c r="AF206" s="37">
        <f t="shared" si="210"/>
        <v>0</v>
      </c>
      <c r="AG206" s="37">
        <f t="shared" si="211"/>
        <v>0</v>
      </c>
      <c r="AH206" s="37">
        <f t="shared" si="212"/>
        <v>0</v>
      </c>
      <c r="AI206" s="49" t="s">
        <v>89</v>
      </c>
      <c r="AJ206" s="37">
        <f t="shared" si="213"/>
        <v>0</v>
      </c>
      <c r="AK206" s="37">
        <f t="shared" si="214"/>
        <v>0</v>
      </c>
      <c r="AL206" s="37">
        <f t="shared" si="215"/>
        <v>0</v>
      </c>
      <c r="AN206" s="37">
        <v>21</v>
      </c>
      <c r="AO206" s="37">
        <f t="shared" si="224"/>
        <v>0</v>
      </c>
      <c r="AP206" s="37">
        <f t="shared" si="225"/>
        <v>0</v>
      </c>
      <c r="AQ206" s="68" t="s">
        <v>237</v>
      </c>
      <c r="AV206" s="37">
        <f t="shared" si="216"/>
        <v>0</v>
      </c>
      <c r="AW206" s="37">
        <f t="shared" si="217"/>
        <v>0</v>
      </c>
      <c r="AX206" s="37">
        <f t="shared" si="218"/>
        <v>0</v>
      </c>
      <c r="AY206" s="68" t="s">
        <v>726</v>
      </c>
      <c r="AZ206" s="68" t="s">
        <v>660</v>
      </c>
      <c r="BA206" s="49" t="s">
        <v>220</v>
      </c>
      <c r="BC206" s="37">
        <f t="shared" si="219"/>
        <v>0</v>
      </c>
      <c r="BD206" s="37">
        <f t="shared" si="220"/>
        <v>0</v>
      </c>
      <c r="BE206" s="37">
        <v>0</v>
      </c>
      <c r="BF206" s="37">
        <f>206</f>
        <v>206</v>
      </c>
      <c r="BH206" s="37">
        <f t="shared" si="221"/>
        <v>0</v>
      </c>
      <c r="BI206" s="37">
        <f t="shared" si="222"/>
        <v>0</v>
      </c>
      <c r="BJ206" s="37">
        <f t="shared" si="223"/>
        <v>0</v>
      </c>
      <c r="BK206" s="37"/>
      <c r="BL206" s="37">
        <v>766</v>
      </c>
      <c r="BW206" s="37">
        <v>21</v>
      </c>
      <c r="BX206" s="3" t="s">
        <v>735</v>
      </c>
    </row>
    <row r="207" spans="1:76" x14ac:dyDescent="0.25">
      <c r="A207" s="1" t="s">
        <v>736</v>
      </c>
      <c r="B207" s="2" t="s">
        <v>737</v>
      </c>
      <c r="C207" s="258" t="s">
        <v>738</v>
      </c>
      <c r="D207" s="259"/>
      <c r="E207" s="2" t="s">
        <v>309</v>
      </c>
      <c r="F207" s="37">
        <v>1</v>
      </c>
      <c r="G207" s="66">
        <v>0</v>
      </c>
      <c r="H207" s="37">
        <f t="shared" si="202"/>
        <v>0</v>
      </c>
      <c r="I207" s="37">
        <f t="shared" si="203"/>
        <v>0</v>
      </c>
      <c r="J207" s="37">
        <f t="shared" si="204"/>
        <v>0</v>
      </c>
      <c r="K207" s="67" t="s">
        <v>327</v>
      </c>
      <c r="Z207" s="37">
        <f t="shared" si="205"/>
        <v>0</v>
      </c>
      <c r="AB207" s="37">
        <f t="shared" si="206"/>
        <v>0</v>
      </c>
      <c r="AC207" s="37">
        <f t="shared" si="207"/>
        <v>0</v>
      </c>
      <c r="AD207" s="37">
        <f t="shared" si="208"/>
        <v>0</v>
      </c>
      <c r="AE207" s="37">
        <f t="shared" si="209"/>
        <v>0</v>
      </c>
      <c r="AF207" s="37">
        <f t="shared" si="210"/>
        <v>0</v>
      </c>
      <c r="AG207" s="37">
        <f t="shared" si="211"/>
        <v>0</v>
      </c>
      <c r="AH207" s="37">
        <f t="shared" si="212"/>
        <v>0</v>
      </c>
      <c r="AI207" s="49" t="s">
        <v>89</v>
      </c>
      <c r="AJ207" s="37">
        <f t="shared" si="213"/>
        <v>0</v>
      </c>
      <c r="AK207" s="37">
        <f t="shared" si="214"/>
        <v>0</v>
      </c>
      <c r="AL207" s="37">
        <f t="shared" si="215"/>
        <v>0</v>
      </c>
      <c r="AN207" s="37">
        <v>21</v>
      </c>
      <c r="AO207" s="37">
        <f t="shared" si="224"/>
        <v>0</v>
      </c>
      <c r="AP207" s="37">
        <f t="shared" si="225"/>
        <v>0</v>
      </c>
      <c r="AQ207" s="68" t="s">
        <v>237</v>
      </c>
      <c r="AV207" s="37">
        <f t="shared" si="216"/>
        <v>0</v>
      </c>
      <c r="AW207" s="37">
        <f t="shared" si="217"/>
        <v>0</v>
      </c>
      <c r="AX207" s="37">
        <f t="shared" si="218"/>
        <v>0</v>
      </c>
      <c r="AY207" s="68" t="s">
        <v>726</v>
      </c>
      <c r="AZ207" s="68" t="s">
        <v>660</v>
      </c>
      <c r="BA207" s="49" t="s">
        <v>220</v>
      </c>
      <c r="BC207" s="37">
        <f t="shared" si="219"/>
        <v>0</v>
      </c>
      <c r="BD207" s="37">
        <f t="shared" si="220"/>
        <v>0</v>
      </c>
      <c r="BE207" s="37">
        <v>0</v>
      </c>
      <c r="BF207" s="37">
        <f>207</f>
        <v>207</v>
      </c>
      <c r="BH207" s="37">
        <f t="shared" si="221"/>
        <v>0</v>
      </c>
      <c r="BI207" s="37">
        <f t="shared" si="222"/>
        <v>0</v>
      </c>
      <c r="BJ207" s="37">
        <f t="shared" si="223"/>
        <v>0</v>
      </c>
      <c r="BK207" s="37"/>
      <c r="BL207" s="37">
        <v>766</v>
      </c>
      <c r="BW207" s="37">
        <v>21</v>
      </c>
      <c r="BX207" s="3" t="s">
        <v>738</v>
      </c>
    </row>
    <row r="208" spans="1:76" x14ac:dyDescent="0.25">
      <c r="A208" s="1" t="s">
        <v>739</v>
      </c>
      <c r="B208" s="2" t="s">
        <v>740</v>
      </c>
      <c r="C208" s="258" t="s">
        <v>741</v>
      </c>
      <c r="D208" s="259"/>
      <c r="E208" s="2" t="s">
        <v>309</v>
      </c>
      <c r="F208" s="37">
        <v>1</v>
      </c>
      <c r="G208" s="66">
        <v>0</v>
      </c>
      <c r="H208" s="37">
        <f t="shared" si="202"/>
        <v>0</v>
      </c>
      <c r="I208" s="37">
        <f t="shared" si="203"/>
        <v>0</v>
      </c>
      <c r="J208" s="37">
        <f t="shared" si="204"/>
        <v>0</v>
      </c>
      <c r="K208" s="67" t="s">
        <v>327</v>
      </c>
      <c r="Z208" s="37">
        <f t="shared" si="205"/>
        <v>0</v>
      </c>
      <c r="AB208" s="37">
        <f t="shared" si="206"/>
        <v>0</v>
      </c>
      <c r="AC208" s="37">
        <f t="shared" si="207"/>
        <v>0</v>
      </c>
      <c r="AD208" s="37">
        <f t="shared" si="208"/>
        <v>0</v>
      </c>
      <c r="AE208" s="37">
        <f t="shared" si="209"/>
        <v>0</v>
      </c>
      <c r="AF208" s="37">
        <f t="shared" si="210"/>
        <v>0</v>
      </c>
      <c r="AG208" s="37">
        <f t="shared" si="211"/>
        <v>0</v>
      </c>
      <c r="AH208" s="37">
        <f t="shared" si="212"/>
        <v>0</v>
      </c>
      <c r="AI208" s="49" t="s">
        <v>89</v>
      </c>
      <c r="AJ208" s="37">
        <f t="shared" si="213"/>
        <v>0</v>
      </c>
      <c r="AK208" s="37">
        <f t="shared" si="214"/>
        <v>0</v>
      </c>
      <c r="AL208" s="37">
        <f t="shared" si="215"/>
        <v>0</v>
      </c>
      <c r="AN208" s="37">
        <v>21</v>
      </c>
      <c r="AO208" s="37">
        <f t="shared" si="224"/>
        <v>0</v>
      </c>
      <c r="AP208" s="37">
        <f t="shared" si="225"/>
        <v>0</v>
      </c>
      <c r="AQ208" s="68" t="s">
        <v>237</v>
      </c>
      <c r="AV208" s="37">
        <f t="shared" si="216"/>
        <v>0</v>
      </c>
      <c r="AW208" s="37">
        <f t="shared" si="217"/>
        <v>0</v>
      </c>
      <c r="AX208" s="37">
        <f t="shared" si="218"/>
        <v>0</v>
      </c>
      <c r="AY208" s="68" t="s">
        <v>726</v>
      </c>
      <c r="AZ208" s="68" t="s">
        <v>660</v>
      </c>
      <c r="BA208" s="49" t="s">
        <v>220</v>
      </c>
      <c r="BC208" s="37">
        <f t="shared" si="219"/>
        <v>0</v>
      </c>
      <c r="BD208" s="37">
        <f t="shared" si="220"/>
        <v>0</v>
      </c>
      <c r="BE208" s="37">
        <v>0</v>
      </c>
      <c r="BF208" s="37">
        <f>208</f>
        <v>208</v>
      </c>
      <c r="BH208" s="37">
        <f t="shared" si="221"/>
        <v>0</v>
      </c>
      <c r="BI208" s="37">
        <f t="shared" si="222"/>
        <v>0</v>
      </c>
      <c r="BJ208" s="37">
        <f t="shared" si="223"/>
        <v>0</v>
      </c>
      <c r="BK208" s="37"/>
      <c r="BL208" s="37">
        <v>766</v>
      </c>
      <c r="BW208" s="37">
        <v>21</v>
      </c>
      <c r="BX208" s="3" t="s">
        <v>741</v>
      </c>
    </row>
    <row r="209" spans="1:76" x14ac:dyDescent="0.25">
      <c r="A209" s="1" t="s">
        <v>742</v>
      </c>
      <c r="B209" s="2" t="s">
        <v>743</v>
      </c>
      <c r="C209" s="258" t="s">
        <v>744</v>
      </c>
      <c r="D209" s="259"/>
      <c r="E209" s="2" t="s">
        <v>309</v>
      </c>
      <c r="F209" s="37">
        <v>1</v>
      </c>
      <c r="G209" s="66">
        <v>0</v>
      </c>
      <c r="H209" s="37">
        <f t="shared" si="202"/>
        <v>0</v>
      </c>
      <c r="I209" s="37">
        <f t="shared" si="203"/>
        <v>0</v>
      </c>
      <c r="J209" s="37">
        <f t="shared" si="204"/>
        <v>0</v>
      </c>
      <c r="K209" s="67" t="s">
        <v>327</v>
      </c>
      <c r="Z209" s="37">
        <f t="shared" si="205"/>
        <v>0</v>
      </c>
      <c r="AB209" s="37">
        <f t="shared" si="206"/>
        <v>0</v>
      </c>
      <c r="AC209" s="37">
        <f t="shared" si="207"/>
        <v>0</v>
      </c>
      <c r="AD209" s="37">
        <f t="shared" si="208"/>
        <v>0</v>
      </c>
      <c r="AE209" s="37">
        <f t="shared" si="209"/>
        <v>0</v>
      </c>
      <c r="AF209" s="37">
        <f t="shared" si="210"/>
        <v>0</v>
      </c>
      <c r="AG209" s="37">
        <f t="shared" si="211"/>
        <v>0</v>
      </c>
      <c r="AH209" s="37">
        <f t="shared" si="212"/>
        <v>0</v>
      </c>
      <c r="AI209" s="49" t="s">
        <v>89</v>
      </c>
      <c r="AJ209" s="37">
        <f t="shared" si="213"/>
        <v>0</v>
      </c>
      <c r="AK209" s="37">
        <f t="shared" si="214"/>
        <v>0</v>
      </c>
      <c r="AL209" s="37">
        <f t="shared" si="215"/>
        <v>0</v>
      </c>
      <c r="AN209" s="37">
        <v>21</v>
      </c>
      <c r="AO209" s="37">
        <f t="shared" si="224"/>
        <v>0</v>
      </c>
      <c r="AP209" s="37">
        <f t="shared" si="225"/>
        <v>0</v>
      </c>
      <c r="AQ209" s="68" t="s">
        <v>237</v>
      </c>
      <c r="AV209" s="37">
        <f t="shared" si="216"/>
        <v>0</v>
      </c>
      <c r="AW209" s="37">
        <f t="shared" si="217"/>
        <v>0</v>
      </c>
      <c r="AX209" s="37">
        <f t="shared" si="218"/>
        <v>0</v>
      </c>
      <c r="AY209" s="68" t="s">
        <v>726</v>
      </c>
      <c r="AZ209" s="68" t="s">
        <v>660</v>
      </c>
      <c r="BA209" s="49" t="s">
        <v>220</v>
      </c>
      <c r="BC209" s="37">
        <f t="shared" si="219"/>
        <v>0</v>
      </c>
      <c r="BD209" s="37">
        <f t="shared" si="220"/>
        <v>0</v>
      </c>
      <c r="BE209" s="37">
        <v>0</v>
      </c>
      <c r="BF209" s="37">
        <f>209</f>
        <v>209</v>
      </c>
      <c r="BH209" s="37">
        <f t="shared" si="221"/>
        <v>0</v>
      </c>
      <c r="BI209" s="37">
        <f t="shared" si="222"/>
        <v>0</v>
      </c>
      <c r="BJ209" s="37">
        <f t="shared" si="223"/>
        <v>0</v>
      </c>
      <c r="BK209" s="37"/>
      <c r="BL209" s="37">
        <v>766</v>
      </c>
      <c r="BW209" s="37">
        <v>21</v>
      </c>
      <c r="BX209" s="3" t="s">
        <v>744</v>
      </c>
    </row>
    <row r="210" spans="1:76" x14ac:dyDescent="0.25">
      <c r="A210" s="1" t="s">
        <v>745</v>
      </c>
      <c r="B210" s="2" t="s">
        <v>746</v>
      </c>
      <c r="C210" s="258" t="s">
        <v>747</v>
      </c>
      <c r="D210" s="259"/>
      <c r="E210" s="2" t="s">
        <v>309</v>
      </c>
      <c r="F210" s="37">
        <v>7</v>
      </c>
      <c r="G210" s="66">
        <v>0</v>
      </c>
      <c r="H210" s="37">
        <f t="shared" si="202"/>
        <v>0</v>
      </c>
      <c r="I210" s="37">
        <f t="shared" si="203"/>
        <v>0</v>
      </c>
      <c r="J210" s="37">
        <f t="shared" si="204"/>
        <v>0</v>
      </c>
      <c r="K210" s="67" t="s">
        <v>217</v>
      </c>
      <c r="Z210" s="37">
        <f t="shared" si="205"/>
        <v>0</v>
      </c>
      <c r="AB210" s="37">
        <f t="shared" si="206"/>
        <v>0</v>
      </c>
      <c r="AC210" s="37">
        <f t="shared" si="207"/>
        <v>0</v>
      </c>
      <c r="AD210" s="37">
        <f t="shared" si="208"/>
        <v>0</v>
      </c>
      <c r="AE210" s="37">
        <f t="shared" si="209"/>
        <v>0</v>
      </c>
      <c r="AF210" s="37">
        <f t="shared" si="210"/>
        <v>0</v>
      </c>
      <c r="AG210" s="37">
        <f t="shared" si="211"/>
        <v>0</v>
      </c>
      <c r="AH210" s="37">
        <f t="shared" si="212"/>
        <v>0</v>
      </c>
      <c r="AI210" s="49" t="s">
        <v>89</v>
      </c>
      <c r="AJ210" s="37">
        <f t="shared" si="213"/>
        <v>0</v>
      </c>
      <c r="AK210" s="37">
        <f t="shared" si="214"/>
        <v>0</v>
      </c>
      <c r="AL210" s="37">
        <f t="shared" si="215"/>
        <v>0</v>
      </c>
      <c r="AN210" s="37">
        <v>21</v>
      </c>
      <c r="AO210" s="37">
        <f>G210*0.095741742</f>
        <v>0</v>
      </c>
      <c r="AP210" s="37">
        <f>G210*(1-0.095741742)</f>
        <v>0</v>
      </c>
      <c r="AQ210" s="68" t="s">
        <v>237</v>
      </c>
      <c r="AV210" s="37">
        <f t="shared" si="216"/>
        <v>0</v>
      </c>
      <c r="AW210" s="37">
        <f t="shared" si="217"/>
        <v>0</v>
      </c>
      <c r="AX210" s="37">
        <f t="shared" si="218"/>
        <v>0</v>
      </c>
      <c r="AY210" s="68" t="s">
        <v>726</v>
      </c>
      <c r="AZ210" s="68" t="s">
        <v>660</v>
      </c>
      <c r="BA210" s="49" t="s">
        <v>220</v>
      </c>
      <c r="BC210" s="37">
        <f t="shared" si="219"/>
        <v>0</v>
      </c>
      <c r="BD210" s="37">
        <f t="shared" si="220"/>
        <v>0</v>
      </c>
      <c r="BE210" s="37">
        <v>0</v>
      </c>
      <c r="BF210" s="37">
        <f>210</f>
        <v>210</v>
      </c>
      <c r="BH210" s="37">
        <f t="shared" si="221"/>
        <v>0</v>
      </c>
      <c r="BI210" s="37">
        <f t="shared" si="222"/>
        <v>0</v>
      </c>
      <c r="BJ210" s="37">
        <f t="shared" si="223"/>
        <v>0</v>
      </c>
      <c r="BK210" s="37"/>
      <c r="BL210" s="37">
        <v>766</v>
      </c>
      <c r="BW210" s="37">
        <v>21</v>
      </c>
      <c r="BX210" s="3" t="s">
        <v>747</v>
      </c>
    </row>
    <row r="211" spans="1:76" x14ac:dyDescent="0.25">
      <c r="A211" s="1" t="s">
        <v>748</v>
      </c>
      <c r="B211" s="2" t="s">
        <v>749</v>
      </c>
      <c r="C211" s="258" t="s">
        <v>750</v>
      </c>
      <c r="D211" s="259"/>
      <c r="E211" s="2" t="s">
        <v>309</v>
      </c>
      <c r="F211" s="37">
        <v>1</v>
      </c>
      <c r="G211" s="66">
        <v>0</v>
      </c>
      <c r="H211" s="37">
        <f t="shared" si="202"/>
        <v>0</v>
      </c>
      <c r="I211" s="37">
        <f t="shared" si="203"/>
        <v>0</v>
      </c>
      <c r="J211" s="37">
        <f t="shared" si="204"/>
        <v>0</v>
      </c>
      <c r="K211" s="67" t="s">
        <v>217</v>
      </c>
      <c r="Z211" s="37">
        <f t="shared" si="205"/>
        <v>0</v>
      </c>
      <c r="AB211" s="37">
        <f t="shared" si="206"/>
        <v>0</v>
      </c>
      <c r="AC211" s="37">
        <f t="shared" si="207"/>
        <v>0</v>
      </c>
      <c r="AD211" s="37">
        <f t="shared" si="208"/>
        <v>0</v>
      </c>
      <c r="AE211" s="37">
        <f t="shared" si="209"/>
        <v>0</v>
      </c>
      <c r="AF211" s="37">
        <f t="shared" si="210"/>
        <v>0</v>
      </c>
      <c r="AG211" s="37">
        <f t="shared" si="211"/>
        <v>0</v>
      </c>
      <c r="AH211" s="37">
        <f t="shared" si="212"/>
        <v>0</v>
      </c>
      <c r="AI211" s="49" t="s">
        <v>89</v>
      </c>
      <c r="AJ211" s="37">
        <f t="shared" si="213"/>
        <v>0</v>
      </c>
      <c r="AK211" s="37">
        <f t="shared" si="214"/>
        <v>0</v>
      </c>
      <c r="AL211" s="37">
        <f t="shared" si="215"/>
        <v>0</v>
      </c>
      <c r="AN211" s="37">
        <v>21</v>
      </c>
      <c r="AO211" s="37">
        <f>G211*1</f>
        <v>0</v>
      </c>
      <c r="AP211" s="37">
        <f>G211*(1-1)</f>
        <v>0</v>
      </c>
      <c r="AQ211" s="68" t="s">
        <v>237</v>
      </c>
      <c r="AV211" s="37">
        <f t="shared" si="216"/>
        <v>0</v>
      </c>
      <c r="AW211" s="37">
        <f t="shared" si="217"/>
        <v>0</v>
      </c>
      <c r="AX211" s="37">
        <f t="shared" si="218"/>
        <v>0</v>
      </c>
      <c r="AY211" s="68" t="s">
        <v>726</v>
      </c>
      <c r="AZ211" s="68" t="s">
        <v>660</v>
      </c>
      <c r="BA211" s="49" t="s">
        <v>220</v>
      </c>
      <c r="BC211" s="37">
        <f t="shared" si="219"/>
        <v>0</v>
      </c>
      <c r="BD211" s="37">
        <f t="shared" si="220"/>
        <v>0</v>
      </c>
      <c r="BE211" s="37">
        <v>0</v>
      </c>
      <c r="BF211" s="37">
        <f>211</f>
        <v>211</v>
      </c>
      <c r="BH211" s="37">
        <f t="shared" si="221"/>
        <v>0</v>
      </c>
      <c r="BI211" s="37">
        <f t="shared" si="222"/>
        <v>0</v>
      </c>
      <c r="BJ211" s="37">
        <f t="shared" si="223"/>
        <v>0</v>
      </c>
      <c r="BK211" s="37"/>
      <c r="BL211" s="37">
        <v>766</v>
      </c>
      <c r="BW211" s="37">
        <v>21</v>
      </c>
      <c r="BX211" s="3" t="s">
        <v>750</v>
      </c>
    </row>
    <row r="212" spans="1:76" x14ac:dyDescent="0.25">
      <c r="A212" s="1" t="s">
        <v>751</v>
      </c>
      <c r="B212" s="2" t="s">
        <v>752</v>
      </c>
      <c r="C212" s="258" t="s">
        <v>753</v>
      </c>
      <c r="D212" s="259"/>
      <c r="E212" s="2" t="s">
        <v>309</v>
      </c>
      <c r="F212" s="37">
        <v>1</v>
      </c>
      <c r="G212" s="66">
        <v>0</v>
      </c>
      <c r="H212" s="37">
        <f t="shared" si="202"/>
        <v>0</v>
      </c>
      <c r="I212" s="37">
        <f t="shared" si="203"/>
        <v>0</v>
      </c>
      <c r="J212" s="37">
        <f t="shared" si="204"/>
        <v>0</v>
      </c>
      <c r="K212" s="67" t="s">
        <v>327</v>
      </c>
      <c r="Z212" s="37">
        <f t="shared" si="205"/>
        <v>0</v>
      </c>
      <c r="AB212" s="37">
        <f t="shared" si="206"/>
        <v>0</v>
      </c>
      <c r="AC212" s="37">
        <f t="shared" si="207"/>
        <v>0</v>
      </c>
      <c r="AD212" s="37">
        <f t="shared" si="208"/>
        <v>0</v>
      </c>
      <c r="AE212" s="37">
        <f t="shared" si="209"/>
        <v>0</v>
      </c>
      <c r="AF212" s="37">
        <f t="shared" si="210"/>
        <v>0</v>
      </c>
      <c r="AG212" s="37">
        <f t="shared" si="211"/>
        <v>0</v>
      </c>
      <c r="AH212" s="37">
        <f t="shared" si="212"/>
        <v>0</v>
      </c>
      <c r="AI212" s="49" t="s">
        <v>89</v>
      </c>
      <c r="AJ212" s="37">
        <f t="shared" si="213"/>
        <v>0</v>
      </c>
      <c r="AK212" s="37">
        <f t="shared" si="214"/>
        <v>0</v>
      </c>
      <c r="AL212" s="37">
        <f t="shared" si="215"/>
        <v>0</v>
      </c>
      <c r="AN212" s="37">
        <v>21</v>
      </c>
      <c r="AO212" s="37">
        <f>G212*1</f>
        <v>0</v>
      </c>
      <c r="AP212" s="37">
        <f>G212*(1-1)</f>
        <v>0</v>
      </c>
      <c r="AQ212" s="68" t="s">
        <v>237</v>
      </c>
      <c r="AV212" s="37">
        <f t="shared" si="216"/>
        <v>0</v>
      </c>
      <c r="AW212" s="37">
        <f t="shared" si="217"/>
        <v>0</v>
      </c>
      <c r="AX212" s="37">
        <f t="shared" si="218"/>
        <v>0</v>
      </c>
      <c r="AY212" s="68" t="s">
        <v>726</v>
      </c>
      <c r="AZ212" s="68" t="s">
        <v>660</v>
      </c>
      <c r="BA212" s="49" t="s">
        <v>220</v>
      </c>
      <c r="BC212" s="37">
        <f t="shared" si="219"/>
        <v>0</v>
      </c>
      <c r="BD212" s="37">
        <f t="shared" si="220"/>
        <v>0</v>
      </c>
      <c r="BE212" s="37">
        <v>0</v>
      </c>
      <c r="BF212" s="37">
        <f>212</f>
        <v>212</v>
      </c>
      <c r="BH212" s="37">
        <f t="shared" si="221"/>
        <v>0</v>
      </c>
      <c r="BI212" s="37">
        <f t="shared" si="222"/>
        <v>0</v>
      </c>
      <c r="BJ212" s="37">
        <f t="shared" si="223"/>
        <v>0</v>
      </c>
      <c r="BK212" s="37"/>
      <c r="BL212" s="37">
        <v>766</v>
      </c>
      <c r="BW212" s="37">
        <v>21</v>
      </c>
      <c r="BX212" s="3" t="s">
        <v>753</v>
      </c>
    </row>
    <row r="213" spans="1:76" x14ac:dyDescent="0.25">
      <c r="A213" s="1" t="s">
        <v>754</v>
      </c>
      <c r="B213" s="2" t="s">
        <v>755</v>
      </c>
      <c r="C213" s="258" t="s">
        <v>756</v>
      </c>
      <c r="D213" s="259"/>
      <c r="E213" s="2" t="s">
        <v>309</v>
      </c>
      <c r="F213" s="37">
        <v>2</v>
      </c>
      <c r="G213" s="66">
        <v>0</v>
      </c>
      <c r="H213" s="37">
        <f t="shared" si="202"/>
        <v>0</v>
      </c>
      <c r="I213" s="37">
        <f t="shared" si="203"/>
        <v>0</v>
      </c>
      <c r="J213" s="37">
        <f t="shared" si="204"/>
        <v>0</v>
      </c>
      <c r="K213" s="67" t="s">
        <v>327</v>
      </c>
      <c r="Z213" s="37">
        <f t="shared" si="205"/>
        <v>0</v>
      </c>
      <c r="AB213" s="37">
        <f t="shared" si="206"/>
        <v>0</v>
      </c>
      <c r="AC213" s="37">
        <f t="shared" si="207"/>
        <v>0</v>
      </c>
      <c r="AD213" s="37">
        <f t="shared" si="208"/>
        <v>0</v>
      </c>
      <c r="AE213" s="37">
        <f t="shared" si="209"/>
        <v>0</v>
      </c>
      <c r="AF213" s="37">
        <f t="shared" si="210"/>
        <v>0</v>
      </c>
      <c r="AG213" s="37">
        <f t="shared" si="211"/>
        <v>0</v>
      </c>
      <c r="AH213" s="37">
        <f t="shared" si="212"/>
        <v>0</v>
      </c>
      <c r="AI213" s="49" t="s">
        <v>89</v>
      </c>
      <c r="AJ213" s="37">
        <f t="shared" si="213"/>
        <v>0</v>
      </c>
      <c r="AK213" s="37">
        <f t="shared" si="214"/>
        <v>0</v>
      </c>
      <c r="AL213" s="37">
        <f t="shared" si="215"/>
        <v>0</v>
      </c>
      <c r="AN213" s="37">
        <v>21</v>
      </c>
      <c r="AO213" s="37">
        <f>G213*1</f>
        <v>0</v>
      </c>
      <c r="AP213" s="37">
        <f>G213*(1-1)</f>
        <v>0</v>
      </c>
      <c r="AQ213" s="68" t="s">
        <v>237</v>
      </c>
      <c r="AV213" s="37">
        <f t="shared" si="216"/>
        <v>0</v>
      </c>
      <c r="AW213" s="37">
        <f t="shared" si="217"/>
        <v>0</v>
      </c>
      <c r="AX213" s="37">
        <f t="shared" si="218"/>
        <v>0</v>
      </c>
      <c r="AY213" s="68" t="s">
        <v>726</v>
      </c>
      <c r="AZ213" s="68" t="s">
        <v>660</v>
      </c>
      <c r="BA213" s="49" t="s">
        <v>220</v>
      </c>
      <c r="BC213" s="37">
        <f t="shared" si="219"/>
        <v>0</v>
      </c>
      <c r="BD213" s="37">
        <f t="shared" si="220"/>
        <v>0</v>
      </c>
      <c r="BE213" s="37">
        <v>0</v>
      </c>
      <c r="BF213" s="37">
        <f>213</f>
        <v>213</v>
      </c>
      <c r="BH213" s="37">
        <f t="shared" si="221"/>
        <v>0</v>
      </c>
      <c r="BI213" s="37">
        <f t="shared" si="222"/>
        <v>0</v>
      </c>
      <c r="BJ213" s="37">
        <f t="shared" si="223"/>
        <v>0</v>
      </c>
      <c r="BK213" s="37"/>
      <c r="BL213" s="37">
        <v>766</v>
      </c>
      <c r="BW213" s="37">
        <v>21</v>
      </c>
      <c r="BX213" s="3" t="s">
        <v>756</v>
      </c>
    </row>
    <row r="214" spans="1:76" x14ac:dyDescent="0.25">
      <c r="A214" s="1" t="s">
        <v>757</v>
      </c>
      <c r="B214" s="2" t="s">
        <v>758</v>
      </c>
      <c r="C214" s="258" t="s">
        <v>759</v>
      </c>
      <c r="D214" s="259"/>
      <c r="E214" s="2" t="s">
        <v>309</v>
      </c>
      <c r="F214" s="37">
        <v>2</v>
      </c>
      <c r="G214" s="66">
        <v>0</v>
      </c>
      <c r="H214" s="37">
        <f t="shared" si="202"/>
        <v>0</v>
      </c>
      <c r="I214" s="37">
        <f t="shared" si="203"/>
        <v>0</v>
      </c>
      <c r="J214" s="37">
        <f t="shared" si="204"/>
        <v>0</v>
      </c>
      <c r="K214" s="67" t="s">
        <v>327</v>
      </c>
      <c r="Z214" s="37">
        <f t="shared" si="205"/>
        <v>0</v>
      </c>
      <c r="AB214" s="37">
        <f t="shared" si="206"/>
        <v>0</v>
      </c>
      <c r="AC214" s="37">
        <f t="shared" si="207"/>
        <v>0</v>
      </c>
      <c r="AD214" s="37">
        <f t="shared" si="208"/>
        <v>0</v>
      </c>
      <c r="AE214" s="37">
        <f t="shared" si="209"/>
        <v>0</v>
      </c>
      <c r="AF214" s="37">
        <f t="shared" si="210"/>
        <v>0</v>
      </c>
      <c r="AG214" s="37">
        <f t="shared" si="211"/>
        <v>0</v>
      </c>
      <c r="AH214" s="37">
        <f t="shared" si="212"/>
        <v>0</v>
      </c>
      <c r="AI214" s="49" t="s">
        <v>89</v>
      </c>
      <c r="AJ214" s="37">
        <f t="shared" si="213"/>
        <v>0</v>
      </c>
      <c r="AK214" s="37">
        <f t="shared" si="214"/>
        <v>0</v>
      </c>
      <c r="AL214" s="37">
        <f t="shared" si="215"/>
        <v>0</v>
      </c>
      <c r="AN214" s="37">
        <v>21</v>
      </c>
      <c r="AO214" s="37">
        <f>G214*1</f>
        <v>0</v>
      </c>
      <c r="AP214" s="37">
        <f>G214*(1-1)</f>
        <v>0</v>
      </c>
      <c r="AQ214" s="68" t="s">
        <v>237</v>
      </c>
      <c r="AV214" s="37">
        <f t="shared" si="216"/>
        <v>0</v>
      </c>
      <c r="AW214" s="37">
        <f t="shared" si="217"/>
        <v>0</v>
      </c>
      <c r="AX214" s="37">
        <f t="shared" si="218"/>
        <v>0</v>
      </c>
      <c r="AY214" s="68" t="s">
        <v>726</v>
      </c>
      <c r="AZ214" s="68" t="s">
        <v>660</v>
      </c>
      <c r="BA214" s="49" t="s">
        <v>220</v>
      </c>
      <c r="BC214" s="37">
        <f t="shared" si="219"/>
        <v>0</v>
      </c>
      <c r="BD214" s="37">
        <f t="shared" si="220"/>
        <v>0</v>
      </c>
      <c r="BE214" s="37">
        <v>0</v>
      </c>
      <c r="BF214" s="37">
        <f>214</f>
        <v>214</v>
      </c>
      <c r="BH214" s="37">
        <f t="shared" si="221"/>
        <v>0</v>
      </c>
      <c r="BI214" s="37">
        <f t="shared" si="222"/>
        <v>0</v>
      </c>
      <c r="BJ214" s="37">
        <f t="shared" si="223"/>
        <v>0</v>
      </c>
      <c r="BK214" s="37"/>
      <c r="BL214" s="37">
        <v>766</v>
      </c>
      <c r="BW214" s="37">
        <v>21</v>
      </c>
      <c r="BX214" s="3" t="s">
        <v>759</v>
      </c>
    </row>
    <row r="215" spans="1:76" x14ac:dyDescent="0.25">
      <c r="A215" s="1" t="s">
        <v>760</v>
      </c>
      <c r="B215" s="2" t="s">
        <v>761</v>
      </c>
      <c r="C215" s="258" t="s">
        <v>762</v>
      </c>
      <c r="D215" s="259"/>
      <c r="E215" s="2" t="s">
        <v>309</v>
      </c>
      <c r="F215" s="37">
        <v>1</v>
      </c>
      <c r="G215" s="66">
        <v>0</v>
      </c>
      <c r="H215" s="37">
        <f t="shared" si="202"/>
        <v>0</v>
      </c>
      <c r="I215" s="37">
        <f t="shared" si="203"/>
        <v>0</v>
      </c>
      <c r="J215" s="37">
        <f t="shared" si="204"/>
        <v>0</v>
      </c>
      <c r="K215" s="67" t="s">
        <v>327</v>
      </c>
      <c r="Z215" s="37">
        <f t="shared" si="205"/>
        <v>0</v>
      </c>
      <c r="AB215" s="37">
        <f t="shared" si="206"/>
        <v>0</v>
      </c>
      <c r="AC215" s="37">
        <f t="shared" si="207"/>
        <v>0</v>
      </c>
      <c r="AD215" s="37">
        <f t="shared" si="208"/>
        <v>0</v>
      </c>
      <c r="AE215" s="37">
        <f t="shared" si="209"/>
        <v>0</v>
      </c>
      <c r="AF215" s="37">
        <f t="shared" si="210"/>
        <v>0</v>
      </c>
      <c r="AG215" s="37">
        <f t="shared" si="211"/>
        <v>0</v>
      </c>
      <c r="AH215" s="37">
        <f t="shared" si="212"/>
        <v>0</v>
      </c>
      <c r="AI215" s="49" t="s">
        <v>89</v>
      </c>
      <c r="AJ215" s="37">
        <f t="shared" si="213"/>
        <v>0</v>
      </c>
      <c r="AK215" s="37">
        <f t="shared" si="214"/>
        <v>0</v>
      </c>
      <c r="AL215" s="37">
        <f t="shared" si="215"/>
        <v>0</v>
      </c>
      <c r="AN215" s="37">
        <v>21</v>
      </c>
      <c r="AO215" s="37">
        <f>G215*1</f>
        <v>0</v>
      </c>
      <c r="AP215" s="37">
        <f>G215*(1-1)</f>
        <v>0</v>
      </c>
      <c r="AQ215" s="68" t="s">
        <v>237</v>
      </c>
      <c r="AV215" s="37">
        <f t="shared" si="216"/>
        <v>0</v>
      </c>
      <c r="AW215" s="37">
        <f t="shared" si="217"/>
        <v>0</v>
      </c>
      <c r="AX215" s="37">
        <f t="shared" si="218"/>
        <v>0</v>
      </c>
      <c r="AY215" s="68" t="s">
        <v>726</v>
      </c>
      <c r="AZ215" s="68" t="s">
        <v>660</v>
      </c>
      <c r="BA215" s="49" t="s">
        <v>220</v>
      </c>
      <c r="BC215" s="37">
        <f t="shared" si="219"/>
        <v>0</v>
      </c>
      <c r="BD215" s="37">
        <f t="shared" si="220"/>
        <v>0</v>
      </c>
      <c r="BE215" s="37">
        <v>0</v>
      </c>
      <c r="BF215" s="37">
        <f>215</f>
        <v>215</v>
      </c>
      <c r="BH215" s="37">
        <f t="shared" si="221"/>
        <v>0</v>
      </c>
      <c r="BI215" s="37">
        <f t="shared" si="222"/>
        <v>0</v>
      </c>
      <c r="BJ215" s="37">
        <f t="shared" si="223"/>
        <v>0</v>
      </c>
      <c r="BK215" s="37"/>
      <c r="BL215" s="37">
        <v>766</v>
      </c>
      <c r="BW215" s="37">
        <v>21</v>
      </c>
      <c r="BX215" s="3" t="s">
        <v>762</v>
      </c>
    </row>
    <row r="216" spans="1:76" x14ac:dyDescent="0.25">
      <c r="A216" s="1" t="s">
        <v>763</v>
      </c>
      <c r="B216" s="2" t="s">
        <v>764</v>
      </c>
      <c r="C216" s="258" t="s">
        <v>765</v>
      </c>
      <c r="D216" s="259"/>
      <c r="E216" s="2" t="s">
        <v>309</v>
      </c>
      <c r="F216" s="37">
        <v>4</v>
      </c>
      <c r="G216" s="66">
        <v>0</v>
      </c>
      <c r="H216" s="37">
        <f t="shared" si="202"/>
        <v>0</v>
      </c>
      <c r="I216" s="37">
        <f t="shared" si="203"/>
        <v>0</v>
      </c>
      <c r="J216" s="37">
        <f t="shared" si="204"/>
        <v>0</v>
      </c>
      <c r="K216" s="67" t="s">
        <v>217</v>
      </c>
      <c r="Z216" s="37">
        <f t="shared" si="205"/>
        <v>0</v>
      </c>
      <c r="AB216" s="37">
        <f t="shared" si="206"/>
        <v>0</v>
      </c>
      <c r="AC216" s="37">
        <f t="shared" si="207"/>
        <v>0</v>
      </c>
      <c r="AD216" s="37">
        <f t="shared" si="208"/>
        <v>0</v>
      </c>
      <c r="AE216" s="37">
        <f t="shared" si="209"/>
        <v>0</v>
      </c>
      <c r="AF216" s="37">
        <f t="shared" si="210"/>
        <v>0</v>
      </c>
      <c r="AG216" s="37">
        <f t="shared" si="211"/>
        <v>0</v>
      </c>
      <c r="AH216" s="37">
        <f t="shared" si="212"/>
        <v>0</v>
      </c>
      <c r="AI216" s="49" t="s">
        <v>89</v>
      </c>
      <c r="AJ216" s="37">
        <f t="shared" si="213"/>
        <v>0</v>
      </c>
      <c r="AK216" s="37">
        <f t="shared" si="214"/>
        <v>0</v>
      </c>
      <c r="AL216" s="37">
        <f t="shared" si="215"/>
        <v>0</v>
      </c>
      <c r="AN216" s="37">
        <v>21</v>
      </c>
      <c r="AO216" s="37">
        <f>G216*0.120674686</f>
        <v>0</v>
      </c>
      <c r="AP216" s="37">
        <f>G216*(1-0.120674686)</f>
        <v>0</v>
      </c>
      <c r="AQ216" s="68" t="s">
        <v>237</v>
      </c>
      <c r="AV216" s="37">
        <f t="shared" si="216"/>
        <v>0</v>
      </c>
      <c r="AW216" s="37">
        <f t="shared" si="217"/>
        <v>0</v>
      </c>
      <c r="AX216" s="37">
        <f t="shared" si="218"/>
        <v>0</v>
      </c>
      <c r="AY216" s="68" t="s">
        <v>726</v>
      </c>
      <c r="AZ216" s="68" t="s">
        <v>660</v>
      </c>
      <c r="BA216" s="49" t="s">
        <v>220</v>
      </c>
      <c r="BC216" s="37">
        <f t="shared" si="219"/>
        <v>0</v>
      </c>
      <c r="BD216" s="37">
        <f t="shared" si="220"/>
        <v>0</v>
      </c>
      <c r="BE216" s="37">
        <v>0</v>
      </c>
      <c r="BF216" s="37">
        <f>216</f>
        <v>216</v>
      </c>
      <c r="BH216" s="37">
        <f t="shared" si="221"/>
        <v>0</v>
      </c>
      <c r="BI216" s="37">
        <f t="shared" si="222"/>
        <v>0</v>
      </c>
      <c r="BJ216" s="37">
        <f t="shared" si="223"/>
        <v>0</v>
      </c>
      <c r="BK216" s="37"/>
      <c r="BL216" s="37">
        <v>766</v>
      </c>
      <c r="BW216" s="37">
        <v>21</v>
      </c>
      <c r="BX216" s="3" t="s">
        <v>765</v>
      </c>
    </row>
    <row r="217" spans="1:76" x14ac:dyDescent="0.25">
      <c r="A217" s="1" t="s">
        <v>766</v>
      </c>
      <c r="B217" s="2" t="s">
        <v>767</v>
      </c>
      <c r="C217" s="258" t="s">
        <v>768</v>
      </c>
      <c r="D217" s="259"/>
      <c r="E217" s="2" t="s">
        <v>309</v>
      </c>
      <c r="F217" s="37">
        <v>2</v>
      </c>
      <c r="G217" s="66">
        <v>0</v>
      </c>
      <c r="H217" s="37">
        <f t="shared" si="202"/>
        <v>0</v>
      </c>
      <c r="I217" s="37">
        <f t="shared" si="203"/>
        <v>0</v>
      </c>
      <c r="J217" s="37">
        <f t="shared" si="204"/>
        <v>0</v>
      </c>
      <c r="K217" s="67" t="s">
        <v>327</v>
      </c>
      <c r="Z217" s="37">
        <f t="shared" si="205"/>
        <v>0</v>
      </c>
      <c r="AB217" s="37">
        <f t="shared" si="206"/>
        <v>0</v>
      </c>
      <c r="AC217" s="37">
        <f t="shared" si="207"/>
        <v>0</v>
      </c>
      <c r="AD217" s="37">
        <f t="shared" si="208"/>
        <v>0</v>
      </c>
      <c r="AE217" s="37">
        <f t="shared" si="209"/>
        <v>0</v>
      </c>
      <c r="AF217" s="37">
        <f t="shared" si="210"/>
        <v>0</v>
      </c>
      <c r="AG217" s="37">
        <f t="shared" si="211"/>
        <v>0</v>
      </c>
      <c r="AH217" s="37">
        <f t="shared" si="212"/>
        <v>0</v>
      </c>
      <c r="AI217" s="49" t="s">
        <v>89</v>
      </c>
      <c r="AJ217" s="37">
        <f t="shared" si="213"/>
        <v>0</v>
      </c>
      <c r="AK217" s="37">
        <f t="shared" si="214"/>
        <v>0</v>
      </c>
      <c r="AL217" s="37">
        <f t="shared" si="215"/>
        <v>0</v>
      </c>
      <c r="AN217" s="37">
        <v>21</v>
      </c>
      <c r="AO217" s="37">
        <f>G217*1</f>
        <v>0</v>
      </c>
      <c r="AP217" s="37">
        <f>G217*(1-1)</f>
        <v>0</v>
      </c>
      <c r="AQ217" s="68" t="s">
        <v>237</v>
      </c>
      <c r="AV217" s="37">
        <f t="shared" si="216"/>
        <v>0</v>
      </c>
      <c r="AW217" s="37">
        <f t="shared" si="217"/>
        <v>0</v>
      </c>
      <c r="AX217" s="37">
        <f t="shared" si="218"/>
        <v>0</v>
      </c>
      <c r="AY217" s="68" t="s">
        <v>726</v>
      </c>
      <c r="AZ217" s="68" t="s">
        <v>660</v>
      </c>
      <c r="BA217" s="49" t="s">
        <v>220</v>
      </c>
      <c r="BC217" s="37">
        <f t="shared" si="219"/>
        <v>0</v>
      </c>
      <c r="BD217" s="37">
        <f t="shared" si="220"/>
        <v>0</v>
      </c>
      <c r="BE217" s="37">
        <v>0</v>
      </c>
      <c r="BF217" s="37">
        <f>217</f>
        <v>217</v>
      </c>
      <c r="BH217" s="37">
        <f t="shared" si="221"/>
        <v>0</v>
      </c>
      <c r="BI217" s="37">
        <f t="shared" si="222"/>
        <v>0</v>
      </c>
      <c r="BJ217" s="37">
        <f t="shared" si="223"/>
        <v>0</v>
      </c>
      <c r="BK217" s="37"/>
      <c r="BL217" s="37">
        <v>766</v>
      </c>
      <c r="BW217" s="37">
        <v>21</v>
      </c>
      <c r="BX217" s="3" t="s">
        <v>768</v>
      </c>
    </row>
    <row r="218" spans="1:76" x14ac:dyDescent="0.25">
      <c r="A218" s="1" t="s">
        <v>769</v>
      </c>
      <c r="B218" s="2" t="s">
        <v>752</v>
      </c>
      <c r="C218" s="258" t="s">
        <v>770</v>
      </c>
      <c r="D218" s="259"/>
      <c r="E218" s="2" t="s">
        <v>309</v>
      </c>
      <c r="F218" s="37">
        <v>1</v>
      </c>
      <c r="G218" s="66">
        <v>0</v>
      </c>
      <c r="H218" s="37">
        <f t="shared" si="202"/>
        <v>0</v>
      </c>
      <c r="I218" s="37">
        <f t="shared" si="203"/>
        <v>0</v>
      </c>
      <c r="J218" s="37">
        <f t="shared" si="204"/>
        <v>0</v>
      </c>
      <c r="K218" s="67" t="s">
        <v>327</v>
      </c>
      <c r="Z218" s="37">
        <f t="shared" si="205"/>
        <v>0</v>
      </c>
      <c r="AB218" s="37">
        <f t="shared" si="206"/>
        <v>0</v>
      </c>
      <c r="AC218" s="37">
        <f t="shared" si="207"/>
        <v>0</v>
      </c>
      <c r="AD218" s="37">
        <f t="shared" si="208"/>
        <v>0</v>
      </c>
      <c r="AE218" s="37">
        <f t="shared" si="209"/>
        <v>0</v>
      </c>
      <c r="AF218" s="37">
        <f t="shared" si="210"/>
        <v>0</v>
      </c>
      <c r="AG218" s="37">
        <f t="shared" si="211"/>
        <v>0</v>
      </c>
      <c r="AH218" s="37">
        <f t="shared" si="212"/>
        <v>0</v>
      </c>
      <c r="AI218" s="49" t="s">
        <v>89</v>
      </c>
      <c r="AJ218" s="37">
        <f t="shared" si="213"/>
        <v>0</v>
      </c>
      <c r="AK218" s="37">
        <f t="shared" si="214"/>
        <v>0</v>
      </c>
      <c r="AL218" s="37">
        <f t="shared" si="215"/>
        <v>0</v>
      </c>
      <c r="AN218" s="37">
        <v>21</v>
      </c>
      <c r="AO218" s="37">
        <f>G218*1</f>
        <v>0</v>
      </c>
      <c r="AP218" s="37">
        <f>G218*(1-1)</f>
        <v>0</v>
      </c>
      <c r="AQ218" s="68" t="s">
        <v>237</v>
      </c>
      <c r="AV218" s="37">
        <f t="shared" si="216"/>
        <v>0</v>
      </c>
      <c r="AW218" s="37">
        <f t="shared" si="217"/>
        <v>0</v>
      </c>
      <c r="AX218" s="37">
        <f t="shared" si="218"/>
        <v>0</v>
      </c>
      <c r="AY218" s="68" t="s">
        <v>726</v>
      </c>
      <c r="AZ218" s="68" t="s">
        <v>660</v>
      </c>
      <c r="BA218" s="49" t="s">
        <v>220</v>
      </c>
      <c r="BC218" s="37">
        <f t="shared" si="219"/>
        <v>0</v>
      </c>
      <c r="BD218" s="37">
        <f t="shared" si="220"/>
        <v>0</v>
      </c>
      <c r="BE218" s="37">
        <v>0</v>
      </c>
      <c r="BF218" s="37">
        <f>218</f>
        <v>218</v>
      </c>
      <c r="BH218" s="37">
        <f t="shared" si="221"/>
        <v>0</v>
      </c>
      <c r="BI218" s="37">
        <f t="shared" si="222"/>
        <v>0</v>
      </c>
      <c r="BJ218" s="37">
        <f t="shared" si="223"/>
        <v>0</v>
      </c>
      <c r="BK218" s="37"/>
      <c r="BL218" s="37">
        <v>766</v>
      </c>
      <c r="BW218" s="37">
        <v>21</v>
      </c>
      <c r="BX218" s="3" t="s">
        <v>770</v>
      </c>
    </row>
    <row r="219" spans="1:76" x14ac:dyDescent="0.25">
      <c r="A219" s="1" t="s">
        <v>771</v>
      </c>
      <c r="B219" s="2" t="s">
        <v>772</v>
      </c>
      <c r="C219" s="258" t="s">
        <v>773</v>
      </c>
      <c r="D219" s="259"/>
      <c r="E219" s="2" t="s">
        <v>309</v>
      </c>
      <c r="F219" s="37">
        <v>1</v>
      </c>
      <c r="G219" s="66">
        <v>0</v>
      </c>
      <c r="H219" s="37">
        <f t="shared" si="202"/>
        <v>0</v>
      </c>
      <c r="I219" s="37">
        <f t="shared" si="203"/>
        <v>0</v>
      </c>
      <c r="J219" s="37">
        <f t="shared" si="204"/>
        <v>0</v>
      </c>
      <c r="K219" s="67" t="s">
        <v>327</v>
      </c>
      <c r="Z219" s="37">
        <f t="shared" si="205"/>
        <v>0</v>
      </c>
      <c r="AB219" s="37">
        <f t="shared" si="206"/>
        <v>0</v>
      </c>
      <c r="AC219" s="37">
        <f t="shared" si="207"/>
        <v>0</v>
      </c>
      <c r="AD219" s="37">
        <f t="shared" si="208"/>
        <v>0</v>
      </c>
      <c r="AE219" s="37">
        <f t="shared" si="209"/>
        <v>0</v>
      </c>
      <c r="AF219" s="37">
        <f t="shared" si="210"/>
        <v>0</v>
      </c>
      <c r="AG219" s="37">
        <f t="shared" si="211"/>
        <v>0</v>
      </c>
      <c r="AH219" s="37">
        <f t="shared" si="212"/>
        <v>0</v>
      </c>
      <c r="AI219" s="49" t="s">
        <v>89</v>
      </c>
      <c r="AJ219" s="37">
        <f t="shared" si="213"/>
        <v>0</v>
      </c>
      <c r="AK219" s="37">
        <f t="shared" si="214"/>
        <v>0</v>
      </c>
      <c r="AL219" s="37">
        <f t="shared" si="215"/>
        <v>0</v>
      </c>
      <c r="AN219" s="37">
        <v>21</v>
      </c>
      <c r="AO219" s="37">
        <f>G219*1</f>
        <v>0</v>
      </c>
      <c r="AP219" s="37">
        <f>G219*(1-1)</f>
        <v>0</v>
      </c>
      <c r="AQ219" s="68" t="s">
        <v>237</v>
      </c>
      <c r="AV219" s="37">
        <f t="shared" si="216"/>
        <v>0</v>
      </c>
      <c r="AW219" s="37">
        <f t="shared" si="217"/>
        <v>0</v>
      </c>
      <c r="AX219" s="37">
        <f t="shared" si="218"/>
        <v>0</v>
      </c>
      <c r="AY219" s="68" t="s">
        <v>726</v>
      </c>
      <c r="AZ219" s="68" t="s">
        <v>660</v>
      </c>
      <c r="BA219" s="49" t="s">
        <v>220</v>
      </c>
      <c r="BC219" s="37">
        <f t="shared" si="219"/>
        <v>0</v>
      </c>
      <c r="BD219" s="37">
        <f t="shared" si="220"/>
        <v>0</v>
      </c>
      <c r="BE219" s="37">
        <v>0</v>
      </c>
      <c r="BF219" s="37">
        <f>219</f>
        <v>219</v>
      </c>
      <c r="BH219" s="37">
        <f t="shared" si="221"/>
        <v>0</v>
      </c>
      <c r="BI219" s="37">
        <f t="shared" si="222"/>
        <v>0</v>
      </c>
      <c r="BJ219" s="37">
        <f t="shared" si="223"/>
        <v>0</v>
      </c>
      <c r="BK219" s="37"/>
      <c r="BL219" s="37">
        <v>766</v>
      </c>
      <c r="BW219" s="37">
        <v>21</v>
      </c>
      <c r="BX219" s="3" t="s">
        <v>773</v>
      </c>
    </row>
    <row r="220" spans="1:76" x14ac:dyDescent="0.25">
      <c r="A220" s="1" t="s">
        <v>774</v>
      </c>
      <c r="B220" s="2" t="s">
        <v>775</v>
      </c>
      <c r="C220" s="258" t="s">
        <v>776</v>
      </c>
      <c r="D220" s="259"/>
      <c r="E220" s="2" t="s">
        <v>309</v>
      </c>
      <c r="F220" s="37">
        <v>4</v>
      </c>
      <c r="G220" s="66">
        <v>0</v>
      </c>
      <c r="H220" s="37">
        <f t="shared" si="202"/>
        <v>0</v>
      </c>
      <c r="I220" s="37">
        <f t="shared" si="203"/>
        <v>0</v>
      </c>
      <c r="J220" s="37">
        <f t="shared" si="204"/>
        <v>0</v>
      </c>
      <c r="K220" s="67" t="s">
        <v>327</v>
      </c>
      <c r="Z220" s="37">
        <f t="shared" si="205"/>
        <v>0</v>
      </c>
      <c r="AB220" s="37">
        <f t="shared" si="206"/>
        <v>0</v>
      </c>
      <c r="AC220" s="37">
        <f t="shared" si="207"/>
        <v>0</v>
      </c>
      <c r="AD220" s="37">
        <f t="shared" si="208"/>
        <v>0</v>
      </c>
      <c r="AE220" s="37">
        <f t="shared" si="209"/>
        <v>0</v>
      </c>
      <c r="AF220" s="37">
        <f t="shared" si="210"/>
        <v>0</v>
      </c>
      <c r="AG220" s="37">
        <f t="shared" si="211"/>
        <v>0</v>
      </c>
      <c r="AH220" s="37">
        <f t="shared" si="212"/>
        <v>0</v>
      </c>
      <c r="AI220" s="49" t="s">
        <v>89</v>
      </c>
      <c r="AJ220" s="37">
        <f t="shared" si="213"/>
        <v>0</v>
      </c>
      <c r="AK220" s="37">
        <f t="shared" si="214"/>
        <v>0</v>
      </c>
      <c r="AL220" s="37">
        <f t="shared" si="215"/>
        <v>0</v>
      </c>
      <c r="AN220" s="37">
        <v>21</v>
      </c>
      <c r="AO220" s="37">
        <f>G220*0</f>
        <v>0</v>
      </c>
      <c r="AP220" s="37">
        <f>G220*(1-0)</f>
        <v>0</v>
      </c>
      <c r="AQ220" s="68" t="s">
        <v>237</v>
      </c>
      <c r="AV220" s="37">
        <f t="shared" si="216"/>
        <v>0</v>
      </c>
      <c r="AW220" s="37">
        <f t="shared" si="217"/>
        <v>0</v>
      </c>
      <c r="AX220" s="37">
        <f t="shared" si="218"/>
        <v>0</v>
      </c>
      <c r="AY220" s="68" t="s">
        <v>726</v>
      </c>
      <c r="AZ220" s="68" t="s">
        <v>660</v>
      </c>
      <c r="BA220" s="49" t="s">
        <v>220</v>
      </c>
      <c r="BC220" s="37">
        <f t="shared" si="219"/>
        <v>0</v>
      </c>
      <c r="BD220" s="37">
        <f t="shared" si="220"/>
        <v>0</v>
      </c>
      <c r="BE220" s="37">
        <v>0</v>
      </c>
      <c r="BF220" s="37">
        <f>220</f>
        <v>220</v>
      </c>
      <c r="BH220" s="37">
        <f t="shared" si="221"/>
        <v>0</v>
      </c>
      <c r="BI220" s="37">
        <f t="shared" si="222"/>
        <v>0</v>
      </c>
      <c r="BJ220" s="37">
        <f t="shared" si="223"/>
        <v>0</v>
      </c>
      <c r="BK220" s="37"/>
      <c r="BL220" s="37">
        <v>766</v>
      </c>
      <c r="BW220" s="37">
        <v>21</v>
      </c>
      <c r="BX220" s="3" t="s">
        <v>776</v>
      </c>
    </row>
    <row r="221" spans="1:76" x14ac:dyDescent="0.25">
      <c r="A221" s="1" t="s">
        <v>777</v>
      </c>
      <c r="B221" s="2" t="s">
        <v>778</v>
      </c>
      <c r="C221" s="258" t="s">
        <v>779</v>
      </c>
      <c r="D221" s="259"/>
      <c r="E221" s="2" t="s">
        <v>309</v>
      </c>
      <c r="F221" s="37">
        <v>1</v>
      </c>
      <c r="G221" s="66">
        <v>0</v>
      </c>
      <c r="H221" s="37">
        <f t="shared" si="202"/>
        <v>0</v>
      </c>
      <c r="I221" s="37">
        <f t="shared" si="203"/>
        <v>0</v>
      </c>
      <c r="J221" s="37">
        <f t="shared" si="204"/>
        <v>0</v>
      </c>
      <c r="K221" s="67" t="s">
        <v>327</v>
      </c>
      <c r="Z221" s="37">
        <f t="shared" si="205"/>
        <v>0</v>
      </c>
      <c r="AB221" s="37">
        <f t="shared" si="206"/>
        <v>0</v>
      </c>
      <c r="AC221" s="37">
        <f t="shared" si="207"/>
        <v>0</v>
      </c>
      <c r="AD221" s="37">
        <f t="shared" si="208"/>
        <v>0</v>
      </c>
      <c r="AE221" s="37">
        <f t="shared" si="209"/>
        <v>0</v>
      </c>
      <c r="AF221" s="37">
        <f t="shared" si="210"/>
        <v>0</v>
      </c>
      <c r="AG221" s="37">
        <f t="shared" si="211"/>
        <v>0</v>
      </c>
      <c r="AH221" s="37">
        <f t="shared" si="212"/>
        <v>0</v>
      </c>
      <c r="AI221" s="49" t="s">
        <v>89</v>
      </c>
      <c r="AJ221" s="37">
        <f t="shared" si="213"/>
        <v>0</v>
      </c>
      <c r="AK221" s="37">
        <f t="shared" si="214"/>
        <v>0</v>
      </c>
      <c r="AL221" s="37">
        <f t="shared" si="215"/>
        <v>0</v>
      </c>
      <c r="AN221" s="37">
        <v>21</v>
      </c>
      <c r="AO221" s="37">
        <f>G221*1</f>
        <v>0</v>
      </c>
      <c r="AP221" s="37">
        <f>G221*(1-1)</f>
        <v>0</v>
      </c>
      <c r="AQ221" s="68" t="s">
        <v>237</v>
      </c>
      <c r="AV221" s="37">
        <f t="shared" si="216"/>
        <v>0</v>
      </c>
      <c r="AW221" s="37">
        <f t="shared" si="217"/>
        <v>0</v>
      </c>
      <c r="AX221" s="37">
        <f t="shared" si="218"/>
        <v>0</v>
      </c>
      <c r="AY221" s="68" t="s">
        <v>726</v>
      </c>
      <c r="AZ221" s="68" t="s">
        <v>660</v>
      </c>
      <c r="BA221" s="49" t="s">
        <v>220</v>
      </c>
      <c r="BC221" s="37">
        <f t="shared" si="219"/>
        <v>0</v>
      </c>
      <c r="BD221" s="37">
        <f t="shared" si="220"/>
        <v>0</v>
      </c>
      <c r="BE221" s="37">
        <v>0</v>
      </c>
      <c r="BF221" s="37">
        <f>221</f>
        <v>221</v>
      </c>
      <c r="BH221" s="37">
        <f t="shared" si="221"/>
        <v>0</v>
      </c>
      <c r="BI221" s="37">
        <f t="shared" si="222"/>
        <v>0</v>
      </c>
      <c r="BJ221" s="37">
        <f t="shared" si="223"/>
        <v>0</v>
      </c>
      <c r="BK221" s="37"/>
      <c r="BL221" s="37">
        <v>766</v>
      </c>
      <c r="BW221" s="37">
        <v>21</v>
      </c>
      <c r="BX221" s="3" t="s">
        <v>779</v>
      </c>
    </row>
    <row r="222" spans="1:76" ht="25.5" x14ac:dyDescent="0.25">
      <c r="A222" s="1" t="s">
        <v>780</v>
      </c>
      <c r="B222" s="2" t="s">
        <v>781</v>
      </c>
      <c r="C222" s="258" t="s">
        <v>782</v>
      </c>
      <c r="D222" s="259"/>
      <c r="E222" s="2" t="s">
        <v>309</v>
      </c>
      <c r="F222" s="37">
        <v>1</v>
      </c>
      <c r="G222" s="66">
        <v>0</v>
      </c>
      <c r="H222" s="37">
        <f t="shared" si="202"/>
        <v>0</v>
      </c>
      <c r="I222" s="37">
        <f t="shared" si="203"/>
        <v>0</v>
      </c>
      <c r="J222" s="37">
        <f t="shared" si="204"/>
        <v>0</v>
      </c>
      <c r="K222" s="67" t="s">
        <v>327</v>
      </c>
      <c r="Z222" s="37">
        <f t="shared" si="205"/>
        <v>0</v>
      </c>
      <c r="AB222" s="37">
        <f t="shared" si="206"/>
        <v>0</v>
      </c>
      <c r="AC222" s="37">
        <f t="shared" si="207"/>
        <v>0</v>
      </c>
      <c r="AD222" s="37">
        <f t="shared" si="208"/>
        <v>0</v>
      </c>
      <c r="AE222" s="37">
        <f t="shared" si="209"/>
        <v>0</v>
      </c>
      <c r="AF222" s="37">
        <f t="shared" si="210"/>
        <v>0</v>
      </c>
      <c r="AG222" s="37">
        <f t="shared" si="211"/>
        <v>0</v>
      </c>
      <c r="AH222" s="37">
        <f t="shared" si="212"/>
        <v>0</v>
      </c>
      <c r="AI222" s="49" t="s">
        <v>89</v>
      </c>
      <c r="AJ222" s="37">
        <f t="shared" si="213"/>
        <v>0</v>
      </c>
      <c r="AK222" s="37">
        <f t="shared" si="214"/>
        <v>0</v>
      </c>
      <c r="AL222" s="37">
        <f t="shared" si="215"/>
        <v>0</v>
      </c>
      <c r="AN222" s="37">
        <v>21</v>
      </c>
      <c r="AO222" s="37">
        <f>G222*1</f>
        <v>0</v>
      </c>
      <c r="AP222" s="37">
        <f>G222*(1-1)</f>
        <v>0</v>
      </c>
      <c r="AQ222" s="68" t="s">
        <v>237</v>
      </c>
      <c r="AV222" s="37">
        <f t="shared" si="216"/>
        <v>0</v>
      </c>
      <c r="AW222" s="37">
        <f t="shared" si="217"/>
        <v>0</v>
      </c>
      <c r="AX222" s="37">
        <f t="shared" si="218"/>
        <v>0</v>
      </c>
      <c r="AY222" s="68" t="s">
        <v>726</v>
      </c>
      <c r="AZ222" s="68" t="s">
        <v>660</v>
      </c>
      <c r="BA222" s="49" t="s">
        <v>220</v>
      </c>
      <c r="BC222" s="37">
        <f t="shared" si="219"/>
        <v>0</v>
      </c>
      <c r="BD222" s="37">
        <f t="shared" si="220"/>
        <v>0</v>
      </c>
      <c r="BE222" s="37">
        <v>0</v>
      </c>
      <c r="BF222" s="37">
        <f>222</f>
        <v>222</v>
      </c>
      <c r="BH222" s="37">
        <f t="shared" si="221"/>
        <v>0</v>
      </c>
      <c r="BI222" s="37">
        <f t="shared" si="222"/>
        <v>0</v>
      </c>
      <c r="BJ222" s="37">
        <f t="shared" si="223"/>
        <v>0</v>
      </c>
      <c r="BK222" s="37"/>
      <c r="BL222" s="37">
        <v>766</v>
      </c>
      <c r="BW222" s="37">
        <v>21</v>
      </c>
      <c r="BX222" s="3" t="s">
        <v>782</v>
      </c>
    </row>
    <row r="223" spans="1:76" x14ac:dyDescent="0.25">
      <c r="A223" s="1" t="s">
        <v>783</v>
      </c>
      <c r="B223" s="2" t="s">
        <v>784</v>
      </c>
      <c r="C223" s="258" t="s">
        <v>785</v>
      </c>
      <c r="D223" s="259"/>
      <c r="E223" s="2" t="s">
        <v>309</v>
      </c>
      <c r="F223" s="37">
        <v>1</v>
      </c>
      <c r="G223" s="66">
        <v>0</v>
      </c>
      <c r="H223" s="37">
        <f t="shared" si="202"/>
        <v>0</v>
      </c>
      <c r="I223" s="37">
        <f t="shared" si="203"/>
        <v>0</v>
      </c>
      <c r="J223" s="37">
        <f t="shared" si="204"/>
        <v>0</v>
      </c>
      <c r="K223" s="67" t="s">
        <v>327</v>
      </c>
      <c r="Z223" s="37">
        <f t="shared" si="205"/>
        <v>0</v>
      </c>
      <c r="AB223" s="37">
        <f t="shared" si="206"/>
        <v>0</v>
      </c>
      <c r="AC223" s="37">
        <f t="shared" si="207"/>
        <v>0</v>
      </c>
      <c r="AD223" s="37">
        <f t="shared" si="208"/>
        <v>0</v>
      </c>
      <c r="AE223" s="37">
        <f t="shared" si="209"/>
        <v>0</v>
      </c>
      <c r="AF223" s="37">
        <f t="shared" si="210"/>
        <v>0</v>
      </c>
      <c r="AG223" s="37">
        <f t="shared" si="211"/>
        <v>0</v>
      </c>
      <c r="AH223" s="37">
        <f t="shared" si="212"/>
        <v>0</v>
      </c>
      <c r="AI223" s="49" t="s">
        <v>89</v>
      </c>
      <c r="AJ223" s="37">
        <f t="shared" si="213"/>
        <v>0</v>
      </c>
      <c r="AK223" s="37">
        <f t="shared" si="214"/>
        <v>0</v>
      </c>
      <c r="AL223" s="37">
        <f t="shared" si="215"/>
        <v>0</v>
      </c>
      <c r="AN223" s="37">
        <v>21</v>
      </c>
      <c r="AO223" s="37">
        <f>G223*1</f>
        <v>0</v>
      </c>
      <c r="AP223" s="37">
        <f>G223*(1-1)</f>
        <v>0</v>
      </c>
      <c r="AQ223" s="68" t="s">
        <v>237</v>
      </c>
      <c r="AV223" s="37">
        <f t="shared" si="216"/>
        <v>0</v>
      </c>
      <c r="AW223" s="37">
        <f t="shared" si="217"/>
        <v>0</v>
      </c>
      <c r="AX223" s="37">
        <f t="shared" si="218"/>
        <v>0</v>
      </c>
      <c r="AY223" s="68" t="s">
        <v>726</v>
      </c>
      <c r="AZ223" s="68" t="s">
        <v>660</v>
      </c>
      <c r="BA223" s="49" t="s">
        <v>220</v>
      </c>
      <c r="BC223" s="37">
        <f t="shared" si="219"/>
        <v>0</v>
      </c>
      <c r="BD223" s="37">
        <f t="shared" si="220"/>
        <v>0</v>
      </c>
      <c r="BE223" s="37">
        <v>0</v>
      </c>
      <c r="BF223" s="37">
        <f>223</f>
        <v>223</v>
      </c>
      <c r="BH223" s="37">
        <f t="shared" si="221"/>
        <v>0</v>
      </c>
      <c r="BI223" s="37">
        <f t="shared" si="222"/>
        <v>0</v>
      </c>
      <c r="BJ223" s="37">
        <f t="shared" si="223"/>
        <v>0</v>
      </c>
      <c r="BK223" s="37"/>
      <c r="BL223" s="37">
        <v>766</v>
      </c>
      <c r="BW223" s="37">
        <v>21</v>
      </c>
      <c r="BX223" s="3" t="s">
        <v>785</v>
      </c>
    </row>
    <row r="224" spans="1:76" ht="25.5" x14ac:dyDescent="0.25">
      <c r="A224" s="1" t="s">
        <v>786</v>
      </c>
      <c r="B224" s="2" t="s">
        <v>787</v>
      </c>
      <c r="C224" s="258" t="s">
        <v>788</v>
      </c>
      <c r="D224" s="259"/>
      <c r="E224" s="2" t="s">
        <v>309</v>
      </c>
      <c r="F224" s="37">
        <v>1</v>
      </c>
      <c r="G224" s="66">
        <v>0</v>
      </c>
      <c r="H224" s="37">
        <f t="shared" si="202"/>
        <v>0</v>
      </c>
      <c r="I224" s="37">
        <f t="shared" si="203"/>
        <v>0</v>
      </c>
      <c r="J224" s="37">
        <f t="shared" si="204"/>
        <v>0</v>
      </c>
      <c r="K224" s="67" t="s">
        <v>327</v>
      </c>
      <c r="Z224" s="37">
        <f t="shared" si="205"/>
        <v>0</v>
      </c>
      <c r="AB224" s="37">
        <f t="shared" si="206"/>
        <v>0</v>
      </c>
      <c r="AC224" s="37">
        <f t="shared" si="207"/>
        <v>0</v>
      </c>
      <c r="AD224" s="37">
        <f t="shared" si="208"/>
        <v>0</v>
      </c>
      <c r="AE224" s="37">
        <f t="shared" si="209"/>
        <v>0</v>
      </c>
      <c r="AF224" s="37">
        <f t="shared" si="210"/>
        <v>0</v>
      </c>
      <c r="AG224" s="37">
        <f t="shared" si="211"/>
        <v>0</v>
      </c>
      <c r="AH224" s="37">
        <f t="shared" si="212"/>
        <v>0</v>
      </c>
      <c r="AI224" s="49" t="s">
        <v>89</v>
      </c>
      <c r="AJ224" s="37">
        <f t="shared" si="213"/>
        <v>0</v>
      </c>
      <c r="AK224" s="37">
        <f t="shared" si="214"/>
        <v>0</v>
      </c>
      <c r="AL224" s="37">
        <f t="shared" si="215"/>
        <v>0</v>
      </c>
      <c r="AN224" s="37">
        <v>21</v>
      </c>
      <c r="AO224" s="37">
        <f>G224*1</f>
        <v>0</v>
      </c>
      <c r="AP224" s="37">
        <f>G224*(1-1)</f>
        <v>0</v>
      </c>
      <c r="AQ224" s="68" t="s">
        <v>237</v>
      </c>
      <c r="AV224" s="37">
        <f t="shared" si="216"/>
        <v>0</v>
      </c>
      <c r="AW224" s="37">
        <f t="shared" si="217"/>
        <v>0</v>
      </c>
      <c r="AX224" s="37">
        <f t="shared" si="218"/>
        <v>0</v>
      </c>
      <c r="AY224" s="68" t="s">
        <v>726</v>
      </c>
      <c r="AZ224" s="68" t="s">
        <v>660</v>
      </c>
      <c r="BA224" s="49" t="s">
        <v>220</v>
      </c>
      <c r="BC224" s="37">
        <f t="shared" si="219"/>
        <v>0</v>
      </c>
      <c r="BD224" s="37">
        <f t="shared" si="220"/>
        <v>0</v>
      </c>
      <c r="BE224" s="37">
        <v>0</v>
      </c>
      <c r="BF224" s="37">
        <f>224</f>
        <v>224</v>
      </c>
      <c r="BH224" s="37">
        <f t="shared" si="221"/>
        <v>0</v>
      </c>
      <c r="BI224" s="37">
        <f t="shared" si="222"/>
        <v>0</v>
      </c>
      <c r="BJ224" s="37">
        <f t="shared" si="223"/>
        <v>0</v>
      </c>
      <c r="BK224" s="37"/>
      <c r="BL224" s="37">
        <v>766</v>
      </c>
      <c r="BW224" s="37">
        <v>21</v>
      </c>
      <c r="BX224" s="3" t="s">
        <v>788</v>
      </c>
    </row>
    <row r="225" spans="1:76" x14ac:dyDescent="0.25">
      <c r="A225" s="1" t="s">
        <v>789</v>
      </c>
      <c r="B225" s="2" t="s">
        <v>790</v>
      </c>
      <c r="C225" s="258" t="s">
        <v>791</v>
      </c>
      <c r="D225" s="259"/>
      <c r="E225" s="2" t="s">
        <v>309</v>
      </c>
      <c r="F225" s="37">
        <v>1</v>
      </c>
      <c r="G225" s="66">
        <v>0</v>
      </c>
      <c r="H225" s="37">
        <f t="shared" si="202"/>
        <v>0</v>
      </c>
      <c r="I225" s="37">
        <f t="shared" si="203"/>
        <v>0</v>
      </c>
      <c r="J225" s="37">
        <f t="shared" si="204"/>
        <v>0</v>
      </c>
      <c r="K225" s="67" t="s">
        <v>217</v>
      </c>
      <c r="Z225" s="37">
        <f t="shared" si="205"/>
        <v>0</v>
      </c>
      <c r="AB225" s="37">
        <f t="shared" si="206"/>
        <v>0</v>
      </c>
      <c r="AC225" s="37">
        <f t="shared" si="207"/>
        <v>0</v>
      </c>
      <c r="AD225" s="37">
        <f t="shared" si="208"/>
        <v>0</v>
      </c>
      <c r="AE225" s="37">
        <f t="shared" si="209"/>
        <v>0</v>
      </c>
      <c r="AF225" s="37">
        <f t="shared" si="210"/>
        <v>0</v>
      </c>
      <c r="AG225" s="37">
        <f t="shared" si="211"/>
        <v>0</v>
      </c>
      <c r="AH225" s="37">
        <f t="shared" si="212"/>
        <v>0</v>
      </c>
      <c r="AI225" s="49" t="s">
        <v>89</v>
      </c>
      <c r="AJ225" s="37">
        <f t="shared" si="213"/>
        <v>0</v>
      </c>
      <c r="AK225" s="37">
        <f t="shared" si="214"/>
        <v>0</v>
      </c>
      <c r="AL225" s="37">
        <f t="shared" si="215"/>
        <v>0</v>
      </c>
      <c r="AN225" s="37">
        <v>21</v>
      </c>
      <c r="AO225" s="37">
        <f>G225*0.278840921</f>
        <v>0</v>
      </c>
      <c r="AP225" s="37">
        <f>G225*(1-0.278840921)</f>
        <v>0</v>
      </c>
      <c r="AQ225" s="68" t="s">
        <v>237</v>
      </c>
      <c r="AV225" s="37">
        <f t="shared" si="216"/>
        <v>0</v>
      </c>
      <c r="AW225" s="37">
        <f t="shared" si="217"/>
        <v>0</v>
      </c>
      <c r="AX225" s="37">
        <f t="shared" si="218"/>
        <v>0</v>
      </c>
      <c r="AY225" s="68" t="s">
        <v>726</v>
      </c>
      <c r="AZ225" s="68" t="s">
        <v>660</v>
      </c>
      <c r="BA225" s="49" t="s">
        <v>220</v>
      </c>
      <c r="BC225" s="37">
        <f t="shared" si="219"/>
        <v>0</v>
      </c>
      <c r="BD225" s="37">
        <f t="shared" si="220"/>
        <v>0</v>
      </c>
      <c r="BE225" s="37">
        <v>0</v>
      </c>
      <c r="BF225" s="37">
        <f>225</f>
        <v>225</v>
      </c>
      <c r="BH225" s="37">
        <f t="shared" si="221"/>
        <v>0</v>
      </c>
      <c r="BI225" s="37">
        <f t="shared" si="222"/>
        <v>0</v>
      </c>
      <c r="BJ225" s="37">
        <f t="shared" si="223"/>
        <v>0</v>
      </c>
      <c r="BK225" s="37"/>
      <c r="BL225" s="37">
        <v>766</v>
      </c>
      <c r="BW225" s="37">
        <v>21</v>
      </c>
      <c r="BX225" s="3" t="s">
        <v>791</v>
      </c>
    </row>
    <row r="226" spans="1:76" x14ac:dyDescent="0.25">
      <c r="A226" s="1" t="s">
        <v>792</v>
      </c>
      <c r="B226" s="2" t="s">
        <v>793</v>
      </c>
      <c r="C226" s="258" t="s">
        <v>794</v>
      </c>
      <c r="D226" s="259"/>
      <c r="E226" s="2" t="s">
        <v>309</v>
      </c>
      <c r="F226" s="37">
        <v>1</v>
      </c>
      <c r="G226" s="66">
        <v>0</v>
      </c>
      <c r="H226" s="37">
        <f t="shared" si="202"/>
        <v>0</v>
      </c>
      <c r="I226" s="37">
        <f t="shared" si="203"/>
        <v>0</v>
      </c>
      <c r="J226" s="37">
        <f t="shared" si="204"/>
        <v>0</v>
      </c>
      <c r="K226" s="67" t="s">
        <v>217</v>
      </c>
      <c r="Z226" s="37">
        <f t="shared" si="205"/>
        <v>0</v>
      </c>
      <c r="AB226" s="37">
        <f t="shared" si="206"/>
        <v>0</v>
      </c>
      <c r="AC226" s="37">
        <f t="shared" si="207"/>
        <v>0</v>
      </c>
      <c r="AD226" s="37">
        <f t="shared" si="208"/>
        <v>0</v>
      </c>
      <c r="AE226" s="37">
        <f t="shared" si="209"/>
        <v>0</v>
      </c>
      <c r="AF226" s="37">
        <f t="shared" si="210"/>
        <v>0</v>
      </c>
      <c r="AG226" s="37">
        <f t="shared" si="211"/>
        <v>0</v>
      </c>
      <c r="AH226" s="37">
        <f t="shared" si="212"/>
        <v>0</v>
      </c>
      <c r="AI226" s="49" t="s">
        <v>89</v>
      </c>
      <c r="AJ226" s="37">
        <f t="shared" si="213"/>
        <v>0</v>
      </c>
      <c r="AK226" s="37">
        <f t="shared" si="214"/>
        <v>0</v>
      </c>
      <c r="AL226" s="37">
        <f t="shared" si="215"/>
        <v>0</v>
      </c>
      <c r="AN226" s="37">
        <v>21</v>
      </c>
      <c r="AO226" s="37">
        <f>G226*1</f>
        <v>0</v>
      </c>
      <c r="AP226" s="37">
        <f>G226*(1-1)</f>
        <v>0</v>
      </c>
      <c r="AQ226" s="68" t="s">
        <v>237</v>
      </c>
      <c r="AV226" s="37">
        <f t="shared" si="216"/>
        <v>0</v>
      </c>
      <c r="AW226" s="37">
        <f t="shared" si="217"/>
        <v>0</v>
      </c>
      <c r="AX226" s="37">
        <f t="shared" si="218"/>
        <v>0</v>
      </c>
      <c r="AY226" s="68" t="s">
        <v>726</v>
      </c>
      <c r="AZ226" s="68" t="s">
        <v>660</v>
      </c>
      <c r="BA226" s="49" t="s">
        <v>220</v>
      </c>
      <c r="BC226" s="37">
        <f t="shared" si="219"/>
        <v>0</v>
      </c>
      <c r="BD226" s="37">
        <f t="shared" si="220"/>
        <v>0</v>
      </c>
      <c r="BE226" s="37">
        <v>0</v>
      </c>
      <c r="BF226" s="37">
        <f>226</f>
        <v>226</v>
      </c>
      <c r="BH226" s="37">
        <f t="shared" si="221"/>
        <v>0</v>
      </c>
      <c r="BI226" s="37">
        <f t="shared" si="222"/>
        <v>0</v>
      </c>
      <c r="BJ226" s="37">
        <f t="shared" si="223"/>
        <v>0</v>
      </c>
      <c r="BK226" s="37"/>
      <c r="BL226" s="37">
        <v>766</v>
      </c>
      <c r="BW226" s="37">
        <v>21</v>
      </c>
      <c r="BX226" s="3" t="s">
        <v>794</v>
      </c>
    </row>
    <row r="227" spans="1:76" x14ac:dyDescent="0.25">
      <c r="A227" s="1" t="s">
        <v>795</v>
      </c>
      <c r="B227" s="2" t="s">
        <v>796</v>
      </c>
      <c r="C227" s="258" t="s">
        <v>797</v>
      </c>
      <c r="D227" s="259"/>
      <c r="E227" s="2" t="s">
        <v>309</v>
      </c>
      <c r="F227" s="37">
        <v>6</v>
      </c>
      <c r="G227" s="66">
        <v>0</v>
      </c>
      <c r="H227" s="37">
        <f t="shared" si="202"/>
        <v>0</v>
      </c>
      <c r="I227" s="37">
        <f t="shared" si="203"/>
        <v>0</v>
      </c>
      <c r="J227" s="37">
        <f t="shared" si="204"/>
        <v>0</v>
      </c>
      <c r="K227" s="67" t="s">
        <v>217</v>
      </c>
      <c r="Z227" s="37">
        <f t="shared" si="205"/>
        <v>0</v>
      </c>
      <c r="AB227" s="37">
        <f t="shared" si="206"/>
        <v>0</v>
      </c>
      <c r="AC227" s="37">
        <f t="shared" si="207"/>
        <v>0</v>
      </c>
      <c r="AD227" s="37">
        <f t="shared" si="208"/>
        <v>0</v>
      </c>
      <c r="AE227" s="37">
        <f t="shared" si="209"/>
        <v>0</v>
      </c>
      <c r="AF227" s="37">
        <f t="shared" si="210"/>
        <v>0</v>
      </c>
      <c r="AG227" s="37">
        <f t="shared" si="211"/>
        <v>0</v>
      </c>
      <c r="AH227" s="37">
        <f t="shared" si="212"/>
        <v>0</v>
      </c>
      <c r="AI227" s="49" t="s">
        <v>89</v>
      </c>
      <c r="AJ227" s="37">
        <f t="shared" si="213"/>
        <v>0</v>
      </c>
      <c r="AK227" s="37">
        <f t="shared" si="214"/>
        <v>0</v>
      </c>
      <c r="AL227" s="37">
        <f t="shared" si="215"/>
        <v>0</v>
      </c>
      <c r="AN227" s="37">
        <v>21</v>
      </c>
      <c r="AO227" s="37">
        <f>G227*0.134358578</f>
        <v>0</v>
      </c>
      <c r="AP227" s="37">
        <f>G227*(1-0.134358578)</f>
        <v>0</v>
      </c>
      <c r="AQ227" s="68" t="s">
        <v>237</v>
      </c>
      <c r="AV227" s="37">
        <f t="shared" si="216"/>
        <v>0</v>
      </c>
      <c r="AW227" s="37">
        <f t="shared" si="217"/>
        <v>0</v>
      </c>
      <c r="AX227" s="37">
        <f t="shared" si="218"/>
        <v>0</v>
      </c>
      <c r="AY227" s="68" t="s">
        <v>726</v>
      </c>
      <c r="AZ227" s="68" t="s">
        <v>660</v>
      </c>
      <c r="BA227" s="49" t="s">
        <v>220</v>
      </c>
      <c r="BC227" s="37">
        <f t="shared" si="219"/>
        <v>0</v>
      </c>
      <c r="BD227" s="37">
        <f t="shared" si="220"/>
        <v>0</v>
      </c>
      <c r="BE227" s="37">
        <v>0</v>
      </c>
      <c r="BF227" s="37">
        <f>227</f>
        <v>227</v>
      </c>
      <c r="BH227" s="37">
        <f t="shared" si="221"/>
        <v>0</v>
      </c>
      <c r="BI227" s="37">
        <f t="shared" si="222"/>
        <v>0</v>
      </c>
      <c r="BJ227" s="37">
        <f t="shared" si="223"/>
        <v>0</v>
      </c>
      <c r="BK227" s="37"/>
      <c r="BL227" s="37">
        <v>766</v>
      </c>
      <c r="BW227" s="37">
        <v>21</v>
      </c>
      <c r="BX227" s="3" t="s">
        <v>797</v>
      </c>
    </row>
    <row r="228" spans="1:76" x14ac:dyDescent="0.25">
      <c r="A228" s="1" t="s">
        <v>798</v>
      </c>
      <c r="B228" s="2" t="s">
        <v>799</v>
      </c>
      <c r="C228" s="258" t="s">
        <v>800</v>
      </c>
      <c r="D228" s="259"/>
      <c r="E228" s="2" t="s">
        <v>309</v>
      </c>
      <c r="F228" s="37">
        <v>6</v>
      </c>
      <c r="G228" s="66">
        <v>0</v>
      </c>
      <c r="H228" s="37">
        <f t="shared" si="202"/>
        <v>0</v>
      </c>
      <c r="I228" s="37">
        <f t="shared" si="203"/>
        <v>0</v>
      </c>
      <c r="J228" s="37">
        <f t="shared" si="204"/>
        <v>0</v>
      </c>
      <c r="K228" s="67" t="s">
        <v>217</v>
      </c>
      <c r="Z228" s="37">
        <f t="shared" si="205"/>
        <v>0</v>
      </c>
      <c r="AB228" s="37">
        <f t="shared" si="206"/>
        <v>0</v>
      </c>
      <c r="AC228" s="37">
        <f t="shared" si="207"/>
        <v>0</v>
      </c>
      <c r="AD228" s="37">
        <f t="shared" si="208"/>
        <v>0</v>
      </c>
      <c r="AE228" s="37">
        <f t="shared" si="209"/>
        <v>0</v>
      </c>
      <c r="AF228" s="37">
        <f t="shared" si="210"/>
        <v>0</v>
      </c>
      <c r="AG228" s="37">
        <f t="shared" si="211"/>
        <v>0</v>
      </c>
      <c r="AH228" s="37">
        <f t="shared" si="212"/>
        <v>0</v>
      </c>
      <c r="AI228" s="49" t="s">
        <v>89</v>
      </c>
      <c r="AJ228" s="37">
        <f t="shared" si="213"/>
        <v>0</v>
      </c>
      <c r="AK228" s="37">
        <f t="shared" si="214"/>
        <v>0</v>
      </c>
      <c r="AL228" s="37">
        <f t="shared" si="215"/>
        <v>0</v>
      </c>
      <c r="AN228" s="37">
        <v>21</v>
      </c>
      <c r="AO228" s="37">
        <f>G228*1</f>
        <v>0</v>
      </c>
      <c r="AP228" s="37">
        <f>G228*(1-1)</f>
        <v>0</v>
      </c>
      <c r="AQ228" s="68" t="s">
        <v>237</v>
      </c>
      <c r="AV228" s="37">
        <f t="shared" si="216"/>
        <v>0</v>
      </c>
      <c r="AW228" s="37">
        <f t="shared" si="217"/>
        <v>0</v>
      </c>
      <c r="AX228" s="37">
        <f t="shared" si="218"/>
        <v>0</v>
      </c>
      <c r="AY228" s="68" t="s">
        <v>726</v>
      </c>
      <c r="AZ228" s="68" t="s">
        <v>660</v>
      </c>
      <c r="BA228" s="49" t="s">
        <v>220</v>
      </c>
      <c r="BC228" s="37">
        <f t="shared" si="219"/>
        <v>0</v>
      </c>
      <c r="BD228" s="37">
        <f t="shared" si="220"/>
        <v>0</v>
      </c>
      <c r="BE228" s="37">
        <v>0</v>
      </c>
      <c r="BF228" s="37">
        <f>228</f>
        <v>228</v>
      </c>
      <c r="BH228" s="37">
        <f t="shared" si="221"/>
        <v>0</v>
      </c>
      <c r="BI228" s="37">
        <f t="shared" si="222"/>
        <v>0</v>
      </c>
      <c r="BJ228" s="37">
        <f t="shared" si="223"/>
        <v>0</v>
      </c>
      <c r="BK228" s="37"/>
      <c r="BL228" s="37">
        <v>766</v>
      </c>
      <c r="BW228" s="37">
        <v>21</v>
      </c>
      <c r="BX228" s="3" t="s">
        <v>800</v>
      </c>
    </row>
    <row r="229" spans="1:76" x14ac:dyDescent="0.25">
      <c r="A229" s="1" t="s">
        <v>801</v>
      </c>
      <c r="B229" s="2" t="s">
        <v>802</v>
      </c>
      <c r="C229" s="258" t="s">
        <v>803</v>
      </c>
      <c r="D229" s="259"/>
      <c r="E229" s="2" t="s">
        <v>309</v>
      </c>
      <c r="F229" s="37">
        <v>6</v>
      </c>
      <c r="G229" s="66">
        <v>0</v>
      </c>
      <c r="H229" s="37">
        <f t="shared" si="202"/>
        <v>0</v>
      </c>
      <c r="I229" s="37">
        <f t="shared" si="203"/>
        <v>0</v>
      </c>
      <c r="J229" s="37">
        <f t="shared" si="204"/>
        <v>0</v>
      </c>
      <c r="K229" s="67" t="s">
        <v>217</v>
      </c>
      <c r="Z229" s="37">
        <f t="shared" si="205"/>
        <v>0</v>
      </c>
      <c r="AB229" s="37">
        <f t="shared" si="206"/>
        <v>0</v>
      </c>
      <c r="AC229" s="37">
        <f t="shared" si="207"/>
        <v>0</v>
      </c>
      <c r="AD229" s="37">
        <f t="shared" si="208"/>
        <v>0</v>
      </c>
      <c r="AE229" s="37">
        <f t="shared" si="209"/>
        <v>0</v>
      </c>
      <c r="AF229" s="37">
        <f t="shared" si="210"/>
        <v>0</v>
      </c>
      <c r="AG229" s="37">
        <f t="shared" si="211"/>
        <v>0</v>
      </c>
      <c r="AH229" s="37">
        <f t="shared" si="212"/>
        <v>0</v>
      </c>
      <c r="AI229" s="49" t="s">
        <v>89</v>
      </c>
      <c r="AJ229" s="37">
        <f t="shared" si="213"/>
        <v>0</v>
      </c>
      <c r="AK229" s="37">
        <f t="shared" si="214"/>
        <v>0</v>
      </c>
      <c r="AL229" s="37">
        <f t="shared" si="215"/>
        <v>0</v>
      </c>
      <c r="AN229" s="37">
        <v>21</v>
      </c>
      <c r="AO229" s="37">
        <f>G229*1</f>
        <v>0</v>
      </c>
      <c r="AP229" s="37">
        <f>G229*(1-1)</f>
        <v>0</v>
      </c>
      <c r="AQ229" s="68" t="s">
        <v>237</v>
      </c>
      <c r="AV229" s="37">
        <f t="shared" si="216"/>
        <v>0</v>
      </c>
      <c r="AW229" s="37">
        <f t="shared" si="217"/>
        <v>0</v>
      </c>
      <c r="AX229" s="37">
        <f t="shared" si="218"/>
        <v>0</v>
      </c>
      <c r="AY229" s="68" t="s">
        <v>726</v>
      </c>
      <c r="AZ229" s="68" t="s">
        <v>660</v>
      </c>
      <c r="BA229" s="49" t="s">
        <v>220</v>
      </c>
      <c r="BC229" s="37">
        <f t="shared" si="219"/>
        <v>0</v>
      </c>
      <c r="BD229" s="37">
        <f t="shared" si="220"/>
        <v>0</v>
      </c>
      <c r="BE229" s="37">
        <v>0</v>
      </c>
      <c r="BF229" s="37">
        <f>229</f>
        <v>229</v>
      </c>
      <c r="BH229" s="37">
        <f t="shared" si="221"/>
        <v>0</v>
      </c>
      <c r="BI229" s="37">
        <f t="shared" si="222"/>
        <v>0</v>
      </c>
      <c r="BJ229" s="37">
        <f t="shared" si="223"/>
        <v>0</v>
      </c>
      <c r="BK229" s="37"/>
      <c r="BL229" s="37">
        <v>766</v>
      </c>
      <c r="BW229" s="37">
        <v>21</v>
      </c>
      <c r="BX229" s="3" t="s">
        <v>803</v>
      </c>
    </row>
    <row r="230" spans="1:76" x14ac:dyDescent="0.25">
      <c r="A230" s="1" t="s">
        <v>804</v>
      </c>
      <c r="B230" s="2" t="s">
        <v>805</v>
      </c>
      <c r="C230" s="258" t="s">
        <v>806</v>
      </c>
      <c r="D230" s="259"/>
      <c r="E230" s="2" t="s">
        <v>309</v>
      </c>
      <c r="F230" s="37">
        <v>1</v>
      </c>
      <c r="G230" s="66">
        <v>0</v>
      </c>
      <c r="H230" s="37">
        <f t="shared" si="202"/>
        <v>0</v>
      </c>
      <c r="I230" s="37">
        <f t="shared" si="203"/>
        <v>0</v>
      </c>
      <c r="J230" s="37">
        <f t="shared" si="204"/>
        <v>0</v>
      </c>
      <c r="K230" s="67" t="s">
        <v>217</v>
      </c>
      <c r="Z230" s="37">
        <f t="shared" si="205"/>
        <v>0</v>
      </c>
      <c r="AB230" s="37">
        <f t="shared" si="206"/>
        <v>0</v>
      </c>
      <c r="AC230" s="37">
        <f t="shared" si="207"/>
        <v>0</v>
      </c>
      <c r="AD230" s="37">
        <f t="shared" si="208"/>
        <v>0</v>
      </c>
      <c r="AE230" s="37">
        <f t="shared" si="209"/>
        <v>0</v>
      </c>
      <c r="AF230" s="37">
        <f t="shared" si="210"/>
        <v>0</v>
      </c>
      <c r="AG230" s="37">
        <f t="shared" si="211"/>
        <v>0</v>
      </c>
      <c r="AH230" s="37">
        <f t="shared" si="212"/>
        <v>0</v>
      </c>
      <c r="AI230" s="49" t="s">
        <v>89</v>
      </c>
      <c r="AJ230" s="37">
        <f t="shared" si="213"/>
        <v>0</v>
      </c>
      <c r="AK230" s="37">
        <f t="shared" si="214"/>
        <v>0</v>
      </c>
      <c r="AL230" s="37">
        <f t="shared" si="215"/>
        <v>0</v>
      </c>
      <c r="AN230" s="37">
        <v>21</v>
      </c>
      <c r="AO230" s="37">
        <f>G230*0.111986967</f>
        <v>0</v>
      </c>
      <c r="AP230" s="37">
        <f>G230*(1-0.111986967)</f>
        <v>0</v>
      </c>
      <c r="AQ230" s="68" t="s">
        <v>237</v>
      </c>
      <c r="AV230" s="37">
        <f t="shared" si="216"/>
        <v>0</v>
      </c>
      <c r="AW230" s="37">
        <f t="shared" si="217"/>
        <v>0</v>
      </c>
      <c r="AX230" s="37">
        <f t="shared" si="218"/>
        <v>0</v>
      </c>
      <c r="AY230" s="68" t="s">
        <v>726</v>
      </c>
      <c r="AZ230" s="68" t="s">
        <v>660</v>
      </c>
      <c r="BA230" s="49" t="s">
        <v>220</v>
      </c>
      <c r="BC230" s="37">
        <f t="shared" si="219"/>
        <v>0</v>
      </c>
      <c r="BD230" s="37">
        <f t="shared" si="220"/>
        <v>0</v>
      </c>
      <c r="BE230" s="37">
        <v>0</v>
      </c>
      <c r="BF230" s="37">
        <f>230</f>
        <v>230</v>
      </c>
      <c r="BH230" s="37">
        <f t="shared" si="221"/>
        <v>0</v>
      </c>
      <c r="BI230" s="37">
        <f t="shared" si="222"/>
        <v>0</v>
      </c>
      <c r="BJ230" s="37">
        <f t="shared" si="223"/>
        <v>0</v>
      </c>
      <c r="BK230" s="37"/>
      <c r="BL230" s="37">
        <v>766</v>
      </c>
      <c r="BW230" s="37">
        <v>21</v>
      </c>
      <c r="BX230" s="3" t="s">
        <v>806</v>
      </c>
    </row>
    <row r="231" spans="1:76" x14ac:dyDescent="0.25">
      <c r="A231" s="1" t="s">
        <v>807</v>
      </c>
      <c r="B231" s="2" t="s">
        <v>808</v>
      </c>
      <c r="C231" s="258" t="s">
        <v>809</v>
      </c>
      <c r="D231" s="259"/>
      <c r="E231" s="2" t="s">
        <v>309</v>
      </c>
      <c r="F231" s="37">
        <v>1</v>
      </c>
      <c r="G231" s="66">
        <v>0</v>
      </c>
      <c r="H231" s="37">
        <f t="shared" si="202"/>
        <v>0</v>
      </c>
      <c r="I231" s="37">
        <f t="shared" si="203"/>
        <v>0</v>
      </c>
      <c r="J231" s="37">
        <f t="shared" si="204"/>
        <v>0</v>
      </c>
      <c r="K231" s="67" t="s">
        <v>217</v>
      </c>
      <c r="Z231" s="37">
        <f t="shared" si="205"/>
        <v>0</v>
      </c>
      <c r="AB231" s="37">
        <f t="shared" si="206"/>
        <v>0</v>
      </c>
      <c r="AC231" s="37">
        <f t="shared" si="207"/>
        <v>0</v>
      </c>
      <c r="AD231" s="37">
        <f t="shared" si="208"/>
        <v>0</v>
      </c>
      <c r="AE231" s="37">
        <f t="shared" si="209"/>
        <v>0</v>
      </c>
      <c r="AF231" s="37">
        <f t="shared" si="210"/>
        <v>0</v>
      </c>
      <c r="AG231" s="37">
        <f t="shared" si="211"/>
        <v>0</v>
      </c>
      <c r="AH231" s="37">
        <f t="shared" si="212"/>
        <v>0</v>
      </c>
      <c r="AI231" s="49" t="s">
        <v>89</v>
      </c>
      <c r="AJ231" s="37">
        <f t="shared" si="213"/>
        <v>0</v>
      </c>
      <c r="AK231" s="37">
        <f t="shared" si="214"/>
        <v>0</v>
      </c>
      <c r="AL231" s="37">
        <f t="shared" si="215"/>
        <v>0</v>
      </c>
      <c r="AN231" s="37">
        <v>21</v>
      </c>
      <c r="AO231" s="37">
        <f>G231*1</f>
        <v>0</v>
      </c>
      <c r="AP231" s="37">
        <f>G231*(1-1)</f>
        <v>0</v>
      </c>
      <c r="AQ231" s="68" t="s">
        <v>237</v>
      </c>
      <c r="AV231" s="37">
        <f t="shared" si="216"/>
        <v>0</v>
      </c>
      <c r="AW231" s="37">
        <f t="shared" si="217"/>
        <v>0</v>
      </c>
      <c r="AX231" s="37">
        <f t="shared" si="218"/>
        <v>0</v>
      </c>
      <c r="AY231" s="68" t="s">
        <v>726</v>
      </c>
      <c r="AZ231" s="68" t="s">
        <v>660</v>
      </c>
      <c r="BA231" s="49" t="s">
        <v>220</v>
      </c>
      <c r="BC231" s="37">
        <f t="shared" si="219"/>
        <v>0</v>
      </c>
      <c r="BD231" s="37">
        <f t="shared" si="220"/>
        <v>0</v>
      </c>
      <c r="BE231" s="37">
        <v>0</v>
      </c>
      <c r="BF231" s="37">
        <f>231</f>
        <v>231</v>
      </c>
      <c r="BH231" s="37">
        <f t="shared" si="221"/>
        <v>0</v>
      </c>
      <c r="BI231" s="37">
        <f t="shared" si="222"/>
        <v>0</v>
      </c>
      <c r="BJ231" s="37">
        <f t="shared" si="223"/>
        <v>0</v>
      </c>
      <c r="BK231" s="37"/>
      <c r="BL231" s="37">
        <v>766</v>
      </c>
      <c r="BW231" s="37">
        <v>21</v>
      </c>
      <c r="BX231" s="3" t="s">
        <v>809</v>
      </c>
    </row>
    <row r="232" spans="1:76" x14ac:dyDescent="0.25">
      <c r="A232" s="1" t="s">
        <v>810</v>
      </c>
      <c r="B232" s="2" t="s">
        <v>811</v>
      </c>
      <c r="C232" s="258" t="s">
        <v>812</v>
      </c>
      <c r="D232" s="259"/>
      <c r="E232" s="2" t="s">
        <v>309</v>
      </c>
      <c r="F232" s="37">
        <v>1</v>
      </c>
      <c r="G232" s="66">
        <v>0</v>
      </c>
      <c r="H232" s="37">
        <f t="shared" si="202"/>
        <v>0</v>
      </c>
      <c r="I232" s="37">
        <f t="shared" si="203"/>
        <v>0</v>
      </c>
      <c r="J232" s="37">
        <f t="shared" si="204"/>
        <v>0</v>
      </c>
      <c r="K232" s="67" t="s">
        <v>217</v>
      </c>
      <c r="Z232" s="37">
        <f t="shared" si="205"/>
        <v>0</v>
      </c>
      <c r="AB232" s="37">
        <f t="shared" si="206"/>
        <v>0</v>
      </c>
      <c r="AC232" s="37">
        <f t="shared" si="207"/>
        <v>0</v>
      </c>
      <c r="AD232" s="37">
        <f t="shared" si="208"/>
        <v>0</v>
      </c>
      <c r="AE232" s="37">
        <f t="shared" si="209"/>
        <v>0</v>
      </c>
      <c r="AF232" s="37">
        <f t="shared" si="210"/>
        <v>0</v>
      </c>
      <c r="AG232" s="37">
        <f t="shared" si="211"/>
        <v>0</v>
      </c>
      <c r="AH232" s="37">
        <f t="shared" si="212"/>
        <v>0</v>
      </c>
      <c r="AI232" s="49" t="s">
        <v>89</v>
      </c>
      <c r="AJ232" s="37">
        <f t="shared" si="213"/>
        <v>0</v>
      </c>
      <c r="AK232" s="37">
        <f t="shared" si="214"/>
        <v>0</v>
      </c>
      <c r="AL232" s="37">
        <f t="shared" si="215"/>
        <v>0</v>
      </c>
      <c r="AN232" s="37">
        <v>21</v>
      </c>
      <c r="AO232" s="37">
        <f>G232*1</f>
        <v>0</v>
      </c>
      <c r="AP232" s="37">
        <f>G232*(1-1)</f>
        <v>0</v>
      </c>
      <c r="AQ232" s="68" t="s">
        <v>237</v>
      </c>
      <c r="AV232" s="37">
        <f t="shared" si="216"/>
        <v>0</v>
      </c>
      <c r="AW232" s="37">
        <f t="shared" si="217"/>
        <v>0</v>
      </c>
      <c r="AX232" s="37">
        <f t="shared" si="218"/>
        <v>0</v>
      </c>
      <c r="AY232" s="68" t="s">
        <v>726</v>
      </c>
      <c r="AZ232" s="68" t="s">
        <v>660</v>
      </c>
      <c r="BA232" s="49" t="s">
        <v>220</v>
      </c>
      <c r="BC232" s="37">
        <f t="shared" si="219"/>
        <v>0</v>
      </c>
      <c r="BD232" s="37">
        <f t="shared" si="220"/>
        <v>0</v>
      </c>
      <c r="BE232" s="37">
        <v>0</v>
      </c>
      <c r="BF232" s="37">
        <f>232</f>
        <v>232</v>
      </c>
      <c r="BH232" s="37">
        <f t="shared" si="221"/>
        <v>0</v>
      </c>
      <c r="BI232" s="37">
        <f t="shared" si="222"/>
        <v>0</v>
      </c>
      <c r="BJ232" s="37">
        <f t="shared" si="223"/>
        <v>0</v>
      </c>
      <c r="BK232" s="37"/>
      <c r="BL232" s="37">
        <v>766</v>
      </c>
      <c r="BW232" s="37">
        <v>21</v>
      </c>
      <c r="BX232" s="3" t="s">
        <v>812</v>
      </c>
    </row>
    <row r="233" spans="1:76" x14ac:dyDescent="0.25">
      <c r="A233" s="1" t="s">
        <v>813</v>
      </c>
      <c r="B233" s="2" t="s">
        <v>814</v>
      </c>
      <c r="C233" s="258" t="s">
        <v>815</v>
      </c>
      <c r="D233" s="259"/>
      <c r="E233" s="2" t="s">
        <v>63</v>
      </c>
      <c r="F233" s="37">
        <v>3990.0394000000001</v>
      </c>
      <c r="G233" s="66">
        <v>0</v>
      </c>
      <c r="H233" s="37">
        <f t="shared" si="202"/>
        <v>0</v>
      </c>
      <c r="I233" s="37">
        <f t="shared" si="203"/>
        <v>0</v>
      </c>
      <c r="J233" s="37">
        <f t="shared" si="204"/>
        <v>0</v>
      </c>
      <c r="K233" s="67" t="s">
        <v>217</v>
      </c>
      <c r="Z233" s="37">
        <f t="shared" si="205"/>
        <v>0</v>
      </c>
      <c r="AB233" s="37">
        <f t="shared" si="206"/>
        <v>0</v>
      </c>
      <c r="AC233" s="37">
        <f t="shared" si="207"/>
        <v>0</v>
      </c>
      <c r="AD233" s="37">
        <f t="shared" si="208"/>
        <v>0</v>
      </c>
      <c r="AE233" s="37">
        <f t="shared" si="209"/>
        <v>0</v>
      </c>
      <c r="AF233" s="37">
        <f t="shared" si="210"/>
        <v>0</v>
      </c>
      <c r="AG233" s="37">
        <f t="shared" si="211"/>
        <v>0</v>
      </c>
      <c r="AH233" s="37">
        <f t="shared" si="212"/>
        <v>0</v>
      </c>
      <c r="AI233" s="49" t="s">
        <v>89</v>
      </c>
      <c r="AJ233" s="37">
        <f t="shared" si="213"/>
        <v>0</v>
      </c>
      <c r="AK233" s="37">
        <f t="shared" si="214"/>
        <v>0</v>
      </c>
      <c r="AL233" s="37">
        <f t="shared" si="215"/>
        <v>0</v>
      </c>
      <c r="AN233" s="37">
        <v>21</v>
      </c>
      <c r="AO233" s="37">
        <f>G233*0</f>
        <v>0</v>
      </c>
      <c r="AP233" s="37">
        <f>G233*(1-0)</f>
        <v>0</v>
      </c>
      <c r="AQ233" s="68" t="s">
        <v>231</v>
      </c>
      <c r="AV233" s="37">
        <f t="shared" si="216"/>
        <v>0</v>
      </c>
      <c r="AW233" s="37">
        <f t="shared" si="217"/>
        <v>0</v>
      </c>
      <c r="AX233" s="37">
        <f t="shared" si="218"/>
        <v>0</v>
      </c>
      <c r="AY233" s="68" t="s">
        <v>726</v>
      </c>
      <c r="AZ233" s="68" t="s">
        <v>660</v>
      </c>
      <c r="BA233" s="49" t="s">
        <v>220</v>
      </c>
      <c r="BC233" s="37">
        <f t="shared" si="219"/>
        <v>0</v>
      </c>
      <c r="BD233" s="37">
        <f t="shared" si="220"/>
        <v>0</v>
      </c>
      <c r="BE233" s="37">
        <v>0</v>
      </c>
      <c r="BF233" s="37">
        <f>233</f>
        <v>233</v>
      </c>
      <c r="BH233" s="37">
        <f t="shared" si="221"/>
        <v>0</v>
      </c>
      <c r="BI233" s="37">
        <f t="shared" si="222"/>
        <v>0</v>
      </c>
      <c r="BJ233" s="37">
        <f t="shared" si="223"/>
        <v>0</v>
      </c>
      <c r="BK233" s="37"/>
      <c r="BL233" s="37">
        <v>766</v>
      </c>
      <c r="BW233" s="37">
        <v>21</v>
      </c>
      <c r="BX233" s="3" t="s">
        <v>815</v>
      </c>
    </row>
    <row r="234" spans="1:76" x14ac:dyDescent="0.25">
      <c r="A234" s="61" t="s">
        <v>4</v>
      </c>
      <c r="B234" s="62" t="s">
        <v>147</v>
      </c>
      <c r="C234" s="343" t="s">
        <v>148</v>
      </c>
      <c r="D234" s="344"/>
      <c r="E234" s="63" t="s">
        <v>81</v>
      </c>
      <c r="F234" s="63" t="s">
        <v>81</v>
      </c>
      <c r="G234" s="64" t="s">
        <v>81</v>
      </c>
      <c r="H234" s="43">
        <f>SUM(H235:H238)</f>
        <v>0</v>
      </c>
      <c r="I234" s="43">
        <f>SUM(I235:I238)</f>
        <v>0</v>
      </c>
      <c r="J234" s="43">
        <f>SUM(J235:J238)</f>
        <v>0</v>
      </c>
      <c r="K234" s="65" t="s">
        <v>4</v>
      </c>
      <c r="AI234" s="49" t="s">
        <v>89</v>
      </c>
      <c r="AS234" s="43">
        <f>SUM(AJ235:AJ238)</f>
        <v>0</v>
      </c>
      <c r="AT234" s="43">
        <f>SUM(AK235:AK238)</f>
        <v>0</v>
      </c>
      <c r="AU234" s="43">
        <f>SUM(AL235:AL238)</f>
        <v>0</v>
      </c>
    </row>
    <row r="235" spans="1:76" x14ac:dyDescent="0.25">
      <c r="A235" s="1" t="s">
        <v>816</v>
      </c>
      <c r="B235" s="2" t="s">
        <v>817</v>
      </c>
      <c r="C235" s="258" t="s">
        <v>818</v>
      </c>
      <c r="D235" s="259"/>
      <c r="E235" s="2" t="s">
        <v>313</v>
      </c>
      <c r="F235" s="37">
        <v>5.5</v>
      </c>
      <c r="G235" s="66">
        <v>0</v>
      </c>
      <c r="H235" s="37">
        <f>F235*AO235</f>
        <v>0</v>
      </c>
      <c r="I235" s="37">
        <f>F235*AP235</f>
        <v>0</v>
      </c>
      <c r="J235" s="37">
        <f>F235*G235</f>
        <v>0</v>
      </c>
      <c r="K235" s="67" t="s">
        <v>327</v>
      </c>
      <c r="Z235" s="37">
        <f>IF(AQ235="5",BJ235,0)</f>
        <v>0</v>
      </c>
      <c r="AB235" s="37">
        <f>IF(AQ235="1",BH235,0)</f>
        <v>0</v>
      </c>
      <c r="AC235" s="37">
        <f>IF(AQ235="1",BI235,0)</f>
        <v>0</v>
      </c>
      <c r="AD235" s="37">
        <f>IF(AQ235="7",BH235,0)</f>
        <v>0</v>
      </c>
      <c r="AE235" s="37">
        <f>IF(AQ235="7",BI235,0)</f>
        <v>0</v>
      </c>
      <c r="AF235" s="37">
        <f>IF(AQ235="2",BH235,0)</f>
        <v>0</v>
      </c>
      <c r="AG235" s="37">
        <f>IF(AQ235="2",BI235,0)</f>
        <v>0</v>
      </c>
      <c r="AH235" s="37">
        <f>IF(AQ235="0",BJ235,0)</f>
        <v>0</v>
      </c>
      <c r="AI235" s="49" t="s">
        <v>89</v>
      </c>
      <c r="AJ235" s="37">
        <f>IF(AN235=0,J235,0)</f>
        <v>0</v>
      </c>
      <c r="AK235" s="37">
        <f>IF(AN235=12,J235,0)</f>
        <v>0</v>
      </c>
      <c r="AL235" s="37">
        <f>IF(AN235=21,J235,0)</f>
        <v>0</v>
      </c>
      <c r="AN235" s="37">
        <v>21</v>
      </c>
      <c r="AO235" s="37">
        <f>G235*0.58442006</f>
        <v>0</v>
      </c>
      <c r="AP235" s="37">
        <f>G235*(1-0.58442006)</f>
        <v>0</v>
      </c>
      <c r="AQ235" s="68" t="s">
        <v>237</v>
      </c>
      <c r="AV235" s="37">
        <f>AW235+AX235</f>
        <v>0</v>
      </c>
      <c r="AW235" s="37">
        <f>F235*AO235</f>
        <v>0</v>
      </c>
      <c r="AX235" s="37">
        <f>F235*AP235</f>
        <v>0</v>
      </c>
      <c r="AY235" s="68" t="s">
        <v>819</v>
      </c>
      <c r="AZ235" s="68" t="s">
        <v>660</v>
      </c>
      <c r="BA235" s="49" t="s">
        <v>220</v>
      </c>
      <c r="BC235" s="37">
        <f>AW235+AX235</f>
        <v>0</v>
      </c>
      <c r="BD235" s="37">
        <f>G235/(100-BE235)*100</f>
        <v>0</v>
      </c>
      <c r="BE235" s="37">
        <v>0</v>
      </c>
      <c r="BF235" s="37">
        <f>235</f>
        <v>235</v>
      </c>
      <c r="BH235" s="37">
        <f>F235*AO235</f>
        <v>0</v>
      </c>
      <c r="BI235" s="37">
        <f>F235*AP235</f>
        <v>0</v>
      </c>
      <c r="BJ235" s="37">
        <f>F235*G235</f>
        <v>0</v>
      </c>
      <c r="BK235" s="37"/>
      <c r="BL235" s="37">
        <v>767</v>
      </c>
      <c r="BW235" s="37">
        <v>21</v>
      </c>
      <c r="BX235" s="3" t="s">
        <v>818</v>
      </c>
    </row>
    <row r="236" spans="1:76" x14ac:dyDescent="0.25">
      <c r="A236" s="1" t="s">
        <v>820</v>
      </c>
      <c r="B236" s="2" t="s">
        <v>821</v>
      </c>
      <c r="C236" s="258" t="s">
        <v>822</v>
      </c>
      <c r="D236" s="259"/>
      <c r="E236" s="2" t="s">
        <v>313</v>
      </c>
      <c r="F236" s="37">
        <v>10.69</v>
      </c>
      <c r="G236" s="66">
        <v>0</v>
      </c>
      <c r="H236" s="37">
        <f>F236*AO236</f>
        <v>0</v>
      </c>
      <c r="I236" s="37">
        <f>F236*AP236</f>
        <v>0</v>
      </c>
      <c r="J236" s="37">
        <f>F236*G236</f>
        <v>0</v>
      </c>
      <c r="K236" s="67" t="s">
        <v>327</v>
      </c>
      <c r="Z236" s="37">
        <f>IF(AQ236="5",BJ236,0)</f>
        <v>0</v>
      </c>
      <c r="AB236" s="37">
        <f>IF(AQ236="1",BH236,0)</f>
        <v>0</v>
      </c>
      <c r="AC236" s="37">
        <f>IF(AQ236="1",BI236,0)</f>
        <v>0</v>
      </c>
      <c r="AD236" s="37">
        <f>IF(AQ236="7",BH236,0)</f>
        <v>0</v>
      </c>
      <c r="AE236" s="37">
        <f>IF(AQ236="7",BI236,0)</f>
        <v>0</v>
      </c>
      <c r="AF236" s="37">
        <f>IF(AQ236="2",BH236,0)</f>
        <v>0</v>
      </c>
      <c r="AG236" s="37">
        <f>IF(AQ236="2",BI236,0)</f>
        <v>0</v>
      </c>
      <c r="AH236" s="37">
        <f>IF(AQ236="0",BJ236,0)</f>
        <v>0</v>
      </c>
      <c r="AI236" s="49" t="s">
        <v>89</v>
      </c>
      <c r="AJ236" s="37">
        <f>IF(AN236=0,J236,0)</f>
        <v>0</v>
      </c>
      <c r="AK236" s="37">
        <f>IF(AN236=12,J236,0)</f>
        <v>0</v>
      </c>
      <c r="AL236" s="37">
        <f>IF(AN236=21,J236,0)</f>
        <v>0</v>
      </c>
      <c r="AN236" s="37">
        <v>21</v>
      </c>
      <c r="AO236" s="37">
        <f>G236*0.398576678</f>
        <v>0</v>
      </c>
      <c r="AP236" s="37">
        <f>G236*(1-0.398576678)</f>
        <v>0</v>
      </c>
      <c r="AQ236" s="68" t="s">
        <v>237</v>
      </c>
      <c r="AV236" s="37">
        <f>AW236+AX236</f>
        <v>0</v>
      </c>
      <c r="AW236" s="37">
        <f>F236*AO236</f>
        <v>0</v>
      </c>
      <c r="AX236" s="37">
        <f>F236*AP236</f>
        <v>0</v>
      </c>
      <c r="AY236" s="68" t="s">
        <v>819</v>
      </c>
      <c r="AZ236" s="68" t="s">
        <v>660</v>
      </c>
      <c r="BA236" s="49" t="s">
        <v>220</v>
      </c>
      <c r="BC236" s="37">
        <f>AW236+AX236</f>
        <v>0</v>
      </c>
      <c r="BD236" s="37">
        <f>G236/(100-BE236)*100</f>
        <v>0</v>
      </c>
      <c r="BE236" s="37">
        <v>0</v>
      </c>
      <c r="BF236" s="37">
        <f>236</f>
        <v>236</v>
      </c>
      <c r="BH236" s="37">
        <f>F236*AO236</f>
        <v>0</v>
      </c>
      <c r="BI236" s="37">
        <f>F236*AP236</f>
        <v>0</v>
      </c>
      <c r="BJ236" s="37">
        <f>F236*G236</f>
        <v>0</v>
      </c>
      <c r="BK236" s="37"/>
      <c r="BL236" s="37">
        <v>767</v>
      </c>
      <c r="BW236" s="37">
        <v>21</v>
      </c>
      <c r="BX236" s="3" t="s">
        <v>822</v>
      </c>
    </row>
    <row r="237" spans="1:76" x14ac:dyDescent="0.25">
      <c r="A237" s="1" t="s">
        <v>823</v>
      </c>
      <c r="B237" s="2" t="s">
        <v>824</v>
      </c>
      <c r="C237" s="258" t="s">
        <v>825</v>
      </c>
      <c r="D237" s="259"/>
      <c r="E237" s="2" t="s">
        <v>313</v>
      </c>
      <c r="F237" s="37">
        <v>5.15</v>
      </c>
      <c r="G237" s="66">
        <v>0</v>
      </c>
      <c r="H237" s="37">
        <f>F237*AO237</f>
        <v>0</v>
      </c>
      <c r="I237" s="37">
        <f>F237*AP237</f>
        <v>0</v>
      </c>
      <c r="J237" s="37">
        <f>F237*G237</f>
        <v>0</v>
      </c>
      <c r="K237" s="67" t="s">
        <v>327</v>
      </c>
      <c r="Z237" s="37">
        <f>IF(AQ237="5",BJ237,0)</f>
        <v>0</v>
      </c>
      <c r="AB237" s="37">
        <f>IF(AQ237="1",BH237,0)</f>
        <v>0</v>
      </c>
      <c r="AC237" s="37">
        <f>IF(AQ237="1",BI237,0)</f>
        <v>0</v>
      </c>
      <c r="AD237" s="37">
        <f>IF(AQ237="7",BH237,0)</f>
        <v>0</v>
      </c>
      <c r="AE237" s="37">
        <f>IF(AQ237="7",BI237,0)</f>
        <v>0</v>
      </c>
      <c r="AF237" s="37">
        <f>IF(AQ237="2",BH237,0)</f>
        <v>0</v>
      </c>
      <c r="AG237" s="37">
        <f>IF(AQ237="2",BI237,0)</f>
        <v>0</v>
      </c>
      <c r="AH237" s="37">
        <f>IF(AQ237="0",BJ237,0)</f>
        <v>0</v>
      </c>
      <c r="AI237" s="49" t="s">
        <v>89</v>
      </c>
      <c r="AJ237" s="37">
        <f>IF(AN237=0,J237,0)</f>
        <v>0</v>
      </c>
      <c r="AK237" s="37">
        <f>IF(AN237=12,J237,0)</f>
        <v>0</v>
      </c>
      <c r="AL237" s="37">
        <f>IF(AN237=21,J237,0)</f>
        <v>0</v>
      </c>
      <c r="AN237" s="37">
        <v>21</v>
      </c>
      <c r="AO237" s="37">
        <f>G237*0.354793283</f>
        <v>0</v>
      </c>
      <c r="AP237" s="37">
        <f>G237*(1-0.354793283)</f>
        <v>0</v>
      </c>
      <c r="AQ237" s="68" t="s">
        <v>237</v>
      </c>
      <c r="AV237" s="37">
        <f>AW237+AX237</f>
        <v>0</v>
      </c>
      <c r="AW237" s="37">
        <f>F237*AO237</f>
        <v>0</v>
      </c>
      <c r="AX237" s="37">
        <f>F237*AP237</f>
        <v>0</v>
      </c>
      <c r="AY237" s="68" t="s">
        <v>819</v>
      </c>
      <c r="AZ237" s="68" t="s">
        <v>660</v>
      </c>
      <c r="BA237" s="49" t="s">
        <v>220</v>
      </c>
      <c r="BC237" s="37">
        <f>AW237+AX237</f>
        <v>0</v>
      </c>
      <c r="BD237" s="37">
        <f>G237/(100-BE237)*100</f>
        <v>0</v>
      </c>
      <c r="BE237" s="37">
        <v>0</v>
      </c>
      <c r="BF237" s="37">
        <f>237</f>
        <v>237</v>
      </c>
      <c r="BH237" s="37">
        <f>F237*AO237</f>
        <v>0</v>
      </c>
      <c r="BI237" s="37">
        <f>F237*AP237</f>
        <v>0</v>
      </c>
      <c r="BJ237" s="37">
        <f>F237*G237</f>
        <v>0</v>
      </c>
      <c r="BK237" s="37"/>
      <c r="BL237" s="37">
        <v>767</v>
      </c>
      <c r="BW237" s="37">
        <v>21</v>
      </c>
      <c r="BX237" s="3" t="s">
        <v>825</v>
      </c>
    </row>
    <row r="238" spans="1:76" x14ac:dyDescent="0.25">
      <c r="A238" s="1" t="s">
        <v>826</v>
      </c>
      <c r="B238" s="2" t="s">
        <v>827</v>
      </c>
      <c r="C238" s="258" t="s">
        <v>828</v>
      </c>
      <c r="D238" s="259"/>
      <c r="E238" s="2" t="s">
        <v>63</v>
      </c>
      <c r="F238" s="37">
        <v>946.07140000000004</v>
      </c>
      <c r="G238" s="66">
        <v>0</v>
      </c>
      <c r="H238" s="37">
        <f>F238*AO238</f>
        <v>0</v>
      </c>
      <c r="I238" s="37">
        <f>F238*AP238</f>
        <v>0</v>
      </c>
      <c r="J238" s="37">
        <f>F238*G238</f>
        <v>0</v>
      </c>
      <c r="K238" s="67" t="s">
        <v>217</v>
      </c>
      <c r="Z238" s="37">
        <f>IF(AQ238="5",BJ238,0)</f>
        <v>0</v>
      </c>
      <c r="AB238" s="37">
        <f>IF(AQ238="1",BH238,0)</f>
        <v>0</v>
      </c>
      <c r="AC238" s="37">
        <f>IF(AQ238="1",BI238,0)</f>
        <v>0</v>
      </c>
      <c r="AD238" s="37">
        <f>IF(AQ238="7",BH238,0)</f>
        <v>0</v>
      </c>
      <c r="AE238" s="37">
        <f>IF(AQ238="7",BI238,0)</f>
        <v>0</v>
      </c>
      <c r="AF238" s="37">
        <f>IF(AQ238="2",BH238,0)</f>
        <v>0</v>
      </c>
      <c r="AG238" s="37">
        <f>IF(AQ238="2",BI238,0)</f>
        <v>0</v>
      </c>
      <c r="AH238" s="37">
        <f>IF(AQ238="0",BJ238,0)</f>
        <v>0</v>
      </c>
      <c r="AI238" s="49" t="s">
        <v>89</v>
      </c>
      <c r="AJ238" s="37">
        <f>IF(AN238=0,J238,0)</f>
        <v>0</v>
      </c>
      <c r="AK238" s="37">
        <f>IF(AN238=12,J238,0)</f>
        <v>0</v>
      </c>
      <c r="AL238" s="37">
        <f>IF(AN238=21,J238,0)</f>
        <v>0</v>
      </c>
      <c r="AN238" s="37">
        <v>21</v>
      </c>
      <c r="AO238" s="37">
        <f>G238*0</f>
        <v>0</v>
      </c>
      <c r="AP238" s="37">
        <f>G238*(1-0)</f>
        <v>0</v>
      </c>
      <c r="AQ238" s="68" t="s">
        <v>231</v>
      </c>
      <c r="AV238" s="37">
        <f>AW238+AX238</f>
        <v>0</v>
      </c>
      <c r="AW238" s="37">
        <f>F238*AO238</f>
        <v>0</v>
      </c>
      <c r="AX238" s="37">
        <f>F238*AP238</f>
        <v>0</v>
      </c>
      <c r="AY238" s="68" t="s">
        <v>819</v>
      </c>
      <c r="AZ238" s="68" t="s">
        <v>660</v>
      </c>
      <c r="BA238" s="49" t="s">
        <v>220</v>
      </c>
      <c r="BC238" s="37">
        <f>AW238+AX238</f>
        <v>0</v>
      </c>
      <c r="BD238" s="37">
        <f>G238/(100-BE238)*100</f>
        <v>0</v>
      </c>
      <c r="BE238" s="37">
        <v>0</v>
      </c>
      <c r="BF238" s="37">
        <f>238</f>
        <v>238</v>
      </c>
      <c r="BH238" s="37">
        <f>F238*AO238</f>
        <v>0</v>
      </c>
      <c r="BI238" s="37">
        <f>F238*AP238</f>
        <v>0</v>
      </c>
      <c r="BJ238" s="37">
        <f>F238*G238</f>
        <v>0</v>
      </c>
      <c r="BK238" s="37"/>
      <c r="BL238" s="37">
        <v>767</v>
      </c>
      <c r="BW238" s="37">
        <v>21</v>
      </c>
      <c r="BX238" s="3" t="s">
        <v>828</v>
      </c>
    </row>
    <row r="239" spans="1:76" x14ac:dyDescent="0.25">
      <c r="A239" s="61" t="s">
        <v>4</v>
      </c>
      <c r="B239" s="62" t="s">
        <v>149</v>
      </c>
      <c r="C239" s="343" t="s">
        <v>150</v>
      </c>
      <c r="D239" s="344"/>
      <c r="E239" s="63" t="s">
        <v>81</v>
      </c>
      <c r="F239" s="63" t="s">
        <v>81</v>
      </c>
      <c r="G239" s="64" t="s">
        <v>81</v>
      </c>
      <c r="H239" s="43">
        <f>SUM(H240:H243)</f>
        <v>0</v>
      </c>
      <c r="I239" s="43">
        <f>SUM(I240:I243)</f>
        <v>0</v>
      </c>
      <c r="J239" s="43">
        <f>SUM(J240:J243)</f>
        <v>0</v>
      </c>
      <c r="K239" s="65" t="s">
        <v>4</v>
      </c>
      <c r="AI239" s="49" t="s">
        <v>89</v>
      </c>
      <c r="AS239" s="43">
        <f>SUM(AJ240:AJ243)</f>
        <v>0</v>
      </c>
      <c r="AT239" s="43">
        <f>SUM(AK240:AK243)</f>
        <v>0</v>
      </c>
      <c r="AU239" s="43">
        <f>SUM(AL240:AL243)</f>
        <v>0</v>
      </c>
    </row>
    <row r="240" spans="1:76" x14ac:dyDescent="0.25">
      <c r="A240" s="1" t="s">
        <v>829</v>
      </c>
      <c r="B240" s="2" t="s">
        <v>830</v>
      </c>
      <c r="C240" s="258" t="s">
        <v>831</v>
      </c>
      <c r="D240" s="259"/>
      <c r="E240" s="2" t="s">
        <v>251</v>
      </c>
      <c r="F240" s="37">
        <v>2.75</v>
      </c>
      <c r="G240" s="66">
        <v>0</v>
      </c>
      <c r="H240" s="37">
        <f>F240*AO240</f>
        <v>0</v>
      </c>
      <c r="I240" s="37">
        <f>F240*AP240</f>
        <v>0</v>
      </c>
      <c r="J240" s="37">
        <f>F240*G240</f>
        <v>0</v>
      </c>
      <c r="K240" s="67" t="s">
        <v>217</v>
      </c>
      <c r="Z240" s="37">
        <f>IF(AQ240="5",BJ240,0)</f>
        <v>0</v>
      </c>
      <c r="AB240" s="37">
        <f>IF(AQ240="1",BH240,0)</f>
        <v>0</v>
      </c>
      <c r="AC240" s="37">
        <f>IF(AQ240="1",BI240,0)</f>
        <v>0</v>
      </c>
      <c r="AD240" s="37">
        <f>IF(AQ240="7",BH240,0)</f>
        <v>0</v>
      </c>
      <c r="AE240" s="37">
        <f>IF(AQ240="7",BI240,0)</f>
        <v>0</v>
      </c>
      <c r="AF240" s="37">
        <f>IF(AQ240="2",BH240,0)</f>
        <v>0</v>
      </c>
      <c r="AG240" s="37">
        <f>IF(AQ240="2",BI240,0)</f>
        <v>0</v>
      </c>
      <c r="AH240" s="37">
        <f>IF(AQ240="0",BJ240,0)</f>
        <v>0</v>
      </c>
      <c r="AI240" s="49" t="s">
        <v>89</v>
      </c>
      <c r="AJ240" s="37">
        <f>IF(AN240=0,J240,0)</f>
        <v>0</v>
      </c>
      <c r="AK240" s="37">
        <f>IF(AN240=12,J240,0)</f>
        <v>0</v>
      </c>
      <c r="AL240" s="37">
        <f>IF(AN240=21,J240,0)</f>
        <v>0</v>
      </c>
      <c r="AN240" s="37">
        <v>21</v>
      </c>
      <c r="AO240" s="37">
        <f>G240*0.472426471</f>
        <v>0</v>
      </c>
      <c r="AP240" s="37">
        <f>G240*(1-0.472426471)</f>
        <v>0</v>
      </c>
      <c r="AQ240" s="68" t="s">
        <v>237</v>
      </c>
      <c r="AV240" s="37">
        <f>AW240+AX240</f>
        <v>0</v>
      </c>
      <c r="AW240" s="37">
        <f>F240*AO240</f>
        <v>0</v>
      </c>
      <c r="AX240" s="37">
        <f>F240*AP240</f>
        <v>0</v>
      </c>
      <c r="AY240" s="68" t="s">
        <v>832</v>
      </c>
      <c r="AZ240" s="68" t="s">
        <v>833</v>
      </c>
      <c r="BA240" s="49" t="s">
        <v>220</v>
      </c>
      <c r="BC240" s="37">
        <f>AW240+AX240</f>
        <v>0</v>
      </c>
      <c r="BD240" s="37">
        <f>G240/(100-BE240)*100</f>
        <v>0</v>
      </c>
      <c r="BE240" s="37">
        <v>0</v>
      </c>
      <c r="BF240" s="37">
        <f>240</f>
        <v>240</v>
      </c>
      <c r="BH240" s="37">
        <f>F240*AO240</f>
        <v>0</v>
      </c>
      <c r="BI240" s="37">
        <f>F240*AP240</f>
        <v>0</v>
      </c>
      <c r="BJ240" s="37">
        <f>F240*G240</f>
        <v>0</v>
      </c>
      <c r="BK240" s="37"/>
      <c r="BL240" s="37">
        <v>771</v>
      </c>
      <c r="BW240" s="37">
        <v>21</v>
      </c>
      <c r="BX240" s="3" t="s">
        <v>831</v>
      </c>
    </row>
    <row r="241" spans="1:76" x14ac:dyDescent="0.25">
      <c r="A241" s="1" t="s">
        <v>834</v>
      </c>
      <c r="B241" s="2" t="s">
        <v>835</v>
      </c>
      <c r="C241" s="258" t="s">
        <v>836</v>
      </c>
      <c r="D241" s="259"/>
      <c r="E241" s="2" t="s">
        <v>251</v>
      </c>
      <c r="F241" s="37">
        <v>2.75</v>
      </c>
      <c r="G241" s="66">
        <v>0</v>
      </c>
      <c r="H241" s="37">
        <f>F241*AO241</f>
        <v>0</v>
      </c>
      <c r="I241" s="37">
        <f>F241*AP241</f>
        <v>0</v>
      </c>
      <c r="J241" s="37">
        <f>F241*G241</f>
        <v>0</v>
      </c>
      <c r="K241" s="67" t="s">
        <v>217</v>
      </c>
      <c r="Z241" s="37">
        <f>IF(AQ241="5",BJ241,0)</f>
        <v>0</v>
      </c>
      <c r="AB241" s="37">
        <f>IF(AQ241="1",BH241,0)</f>
        <v>0</v>
      </c>
      <c r="AC241" s="37">
        <f>IF(AQ241="1",BI241,0)</f>
        <v>0</v>
      </c>
      <c r="AD241" s="37">
        <f>IF(AQ241="7",BH241,0)</f>
        <v>0</v>
      </c>
      <c r="AE241" s="37">
        <f>IF(AQ241="7",BI241,0)</f>
        <v>0</v>
      </c>
      <c r="AF241" s="37">
        <f>IF(AQ241="2",BH241,0)</f>
        <v>0</v>
      </c>
      <c r="AG241" s="37">
        <f>IF(AQ241="2",BI241,0)</f>
        <v>0</v>
      </c>
      <c r="AH241" s="37">
        <f>IF(AQ241="0",BJ241,0)</f>
        <v>0</v>
      </c>
      <c r="AI241" s="49" t="s">
        <v>89</v>
      </c>
      <c r="AJ241" s="37">
        <f>IF(AN241=0,J241,0)</f>
        <v>0</v>
      </c>
      <c r="AK241" s="37">
        <f>IF(AN241=12,J241,0)</f>
        <v>0</v>
      </c>
      <c r="AL241" s="37">
        <f>IF(AN241=21,J241,0)</f>
        <v>0</v>
      </c>
      <c r="AN241" s="37">
        <v>21</v>
      </c>
      <c r="AO241" s="37">
        <f>G241*0.227771664</f>
        <v>0</v>
      </c>
      <c r="AP241" s="37">
        <f>G241*(1-0.227771664)</f>
        <v>0</v>
      </c>
      <c r="AQ241" s="68" t="s">
        <v>237</v>
      </c>
      <c r="AV241" s="37">
        <f>AW241+AX241</f>
        <v>0</v>
      </c>
      <c r="AW241" s="37">
        <f>F241*AO241</f>
        <v>0</v>
      </c>
      <c r="AX241" s="37">
        <f>F241*AP241</f>
        <v>0</v>
      </c>
      <c r="AY241" s="68" t="s">
        <v>832</v>
      </c>
      <c r="AZ241" s="68" t="s">
        <v>833</v>
      </c>
      <c r="BA241" s="49" t="s">
        <v>220</v>
      </c>
      <c r="BC241" s="37">
        <f>AW241+AX241</f>
        <v>0</v>
      </c>
      <c r="BD241" s="37">
        <f>G241/(100-BE241)*100</f>
        <v>0</v>
      </c>
      <c r="BE241" s="37">
        <v>0</v>
      </c>
      <c r="BF241" s="37">
        <f>241</f>
        <v>241</v>
      </c>
      <c r="BH241" s="37">
        <f>F241*AO241</f>
        <v>0</v>
      </c>
      <c r="BI241" s="37">
        <f>F241*AP241</f>
        <v>0</v>
      </c>
      <c r="BJ241" s="37">
        <f>F241*G241</f>
        <v>0</v>
      </c>
      <c r="BK241" s="37"/>
      <c r="BL241" s="37">
        <v>771</v>
      </c>
      <c r="BW241" s="37">
        <v>21</v>
      </c>
      <c r="BX241" s="3" t="s">
        <v>836</v>
      </c>
    </row>
    <row r="242" spans="1:76" x14ac:dyDescent="0.25">
      <c r="A242" s="1" t="s">
        <v>837</v>
      </c>
      <c r="B242" s="2" t="s">
        <v>838</v>
      </c>
      <c r="C242" s="258" t="s">
        <v>839</v>
      </c>
      <c r="D242" s="259"/>
      <c r="E242" s="2" t="s">
        <v>251</v>
      </c>
      <c r="F242" s="37">
        <v>0.39204</v>
      </c>
      <c r="G242" s="66">
        <v>0</v>
      </c>
      <c r="H242" s="37">
        <f>F242*AO242</f>
        <v>0</v>
      </c>
      <c r="I242" s="37">
        <f>F242*AP242</f>
        <v>0</v>
      </c>
      <c r="J242" s="37">
        <f>F242*G242</f>
        <v>0</v>
      </c>
      <c r="K242" s="67" t="s">
        <v>217</v>
      </c>
      <c r="Z242" s="37">
        <f>IF(AQ242="5",BJ242,0)</f>
        <v>0</v>
      </c>
      <c r="AB242" s="37">
        <f>IF(AQ242="1",BH242,0)</f>
        <v>0</v>
      </c>
      <c r="AC242" s="37">
        <f>IF(AQ242="1",BI242,0)</f>
        <v>0</v>
      </c>
      <c r="AD242" s="37">
        <f>IF(AQ242="7",BH242,0)</f>
        <v>0</v>
      </c>
      <c r="AE242" s="37">
        <f>IF(AQ242="7",BI242,0)</f>
        <v>0</v>
      </c>
      <c r="AF242" s="37">
        <f>IF(AQ242="2",BH242,0)</f>
        <v>0</v>
      </c>
      <c r="AG242" s="37">
        <f>IF(AQ242="2",BI242,0)</f>
        <v>0</v>
      </c>
      <c r="AH242" s="37">
        <f>IF(AQ242="0",BJ242,0)</f>
        <v>0</v>
      </c>
      <c r="AI242" s="49" t="s">
        <v>89</v>
      </c>
      <c r="AJ242" s="37">
        <f>IF(AN242=0,J242,0)</f>
        <v>0</v>
      </c>
      <c r="AK242" s="37">
        <f>IF(AN242=12,J242,0)</f>
        <v>0</v>
      </c>
      <c r="AL242" s="37">
        <f>IF(AN242=21,J242,0)</f>
        <v>0</v>
      </c>
      <c r="AN242" s="37">
        <v>21</v>
      </c>
      <c r="AO242" s="37">
        <f>G242*1</f>
        <v>0</v>
      </c>
      <c r="AP242" s="37">
        <f>G242*(1-1)</f>
        <v>0</v>
      </c>
      <c r="AQ242" s="68" t="s">
        <v>237</v>
      </c>
      <c r="AV242" s="37">
        <f>AW242+AX242</f>
        <v>0</v>
      </c>
      <c r="AW242" s="37">
        <f>F242*AO242</f>
        <v>0</v>
      </c>
      <c r="AX242" s="37">
        <f>F242*AP242</f>
        <v>0</v>
      </c>
      <c r="AY242" s="68" t="s">
        <v>832</v>
      </c>
      <c r="AZ242" s="68" t="s">
        <v>833</v>
      </c>
      <c r="BA242" s="49" t="s">
        <v>220</v>
      </c>
      <c r="BC242" s="37">
        <f>AW242+AX242</f>
        <v>0</v>
      </c>
      <c r="BD242" s="37">
        <f>G242/(100-BE242)*100</f>
        <v>0</v>
      </c>
      <c r="BE242" s="37">
        <v>0</v>
      </c>
      <c r="BF242" s="37">
        <f>242</f>
        <v>242</v>
      </c>
      <c r="BH242" s="37">
        <f>F242*AO242</f>
        <v>0</v>
      </c>
      <c r="BI242" s="37">
        <f>F242*AP242</f>
        <v>0</v>
      </c>
      <c r="BJ242" s="37">
        <f>F242*G242</f>
        <v>0</v>
      </c>
      <c r="BK242" s="37"/>
      <c r="BL242" s="37">
        <v>771</v>
      </c>
      <c r="BW242" s="37">
        <v>21</v>
      </c>
      <c r="BX242" s="3" t="s">
        <v>839</v>
      </c>
    </row>
    <row r="243" spans="1:76" x14ac:dyDescent="0.25">
      <c r="A243" s="1" t="s">
        <v>840</v>
      </c>
      <c r="B243" s="2" t="s">
        <v>841</v>
      </c>
      <c r="C243" s="258" t="s">
        <v>842</v>
      </c>
      <c r="D243" s="259"/>
      <c r="E243" s="2" t="s">
        <v>63</v>
      </c>
      <c r="F243" s="37">
        <v>24.569900000000001</v>
      </c>
      <c r="G243" s="66">
        <v>0</v>
      </c>
      <c r="H243" s="37">
        <f>F243*AO243</f>
        <v>0</v>
      </c>
      <c r="I243" s="37">
        <f>F243*AP243</f>
        <v>0</v>
      </c>
      <c r="J243" s="37">
        <f>F243*G243</f>
        <v>0</v>
      </c>
      <c r="K243" s="67" t="s">
        <v>217</v>
      </c>
      <c r="Z243" s="37">
        <f>IF(AQ243="5",BJ243,0)</f>
        <v>0</v>
      </c>
      <c r="AB243" s="37">
        <f>IF(AQ243="1",BH243,0)</f>
        <v>0</v>
      </c>
      <c r="AC243" s="37">
        <f>IF(AQ243="1",BI243,0)</f>
        <v>0</v>
      </c>
      <c r="AD243" s="37">
        <f>IF(AQ243="7",BH243,0)</f>
        <v>0</v>
      </c>
      <c r="AE243" s="37">
        <f>IF(AQ243="7",BI243,0)</f>
        <v>0</v>
      </c>
      <c r="AF243" s="37">
        <f>IF(AQ243="2",BH243,0)</f>
        <v>0</v>
      </c>
      <c r="AG243" s="37">
        <f>IF(AQ243="2",BI243,0)</f>
        <v>0</v>
      </c>
      <c r="AH243" s="37">
        <f>IF(AQ243="0",BJ243,0)</f>
        <v>0</v>
      </c>
      <c r="AI243" s="49" t="s">
        <v>89</v>
      </c>
      <c r="AJ243" s="37">
        <f>IF(AN243=0,J243,0)</f>
        <v>0</v>
      </c>
      <c r="AK243" s="37">
        <f>IF(AN243=12,J243,0)</f>
        <v>0</v>
      </c>
      <c r="AL243" s="37">
        <f>IF(AN243=21,J243,0)</f>
        <v>0</v>
      </c>
      <c r="AN243" s="37">
        <v>21</v>
      </c>
      <c r="AO243" s="37">
        <f>G243*0</f>
        <v>0</v>
      </c>
      <c r="AP243" s="37">
        <f>G243*(1-0)</f>
        <v>0</v>
      </c>
      <c r="AQ243" s="68" t="s">
        <v>231</v>
      </c>
      <c r="AV243" s="37">
        <f>AW243+AX243</f>
        <v>0</v>
      </c>
      <c r="AW243" s="37">
        <f>F243*AO243</f>
        <v>0</v>
      </c>
      <c r="AX243" s="37">
        <f>F243*AP243</f>
        <v>0</v>
      </c>
      <c r="AY243" s="68" t="s">
        <v>832</v>
      </c>
      <c r="AZ243" s="68" t="s">
        <v>833</v>
      </c>
      <c r="BA243" s="49" t="s">
        <v>220</v>
      </c>
      <c r="BC243" s="37">
        <f>AW243+AX243</f>
        <v>0</v>
      </c>
      <c r="BD243" s="37">
        <f>G243/(100-BE243)*100</f>
        <v>0</v>
      </c>
      <c r="BE243" s="37">
        <v>0</v>
      </c>
      <c r="BF243" s="37">
        <f>243</f>
        <v>243</v>
      </c>
      <c r="BH243" s="37">
        <f>F243*AO243</f>
        <v>0</v>
      </c>
      <c r="BI243" s="37">
        <f>F243*AP243</f>
        <v>0</v>
      </c>
      <c r="BJ243" s="37">
        <f>F243*G243</f>
        <v>0</v>
      </c>
      <c r="BK243" s="37"/>
      <c r="BL243" s="37">
        <v>771</v>
      </c>
      <c r="BW243" s="37">
        <v>21</v>
      </c>
      <c r="BX243" s="3" t="s">
        <v>842</v>
      </c>
    </row>
    <row r="244" spans="1:76" x14ac:dyDescent="0.25">
      <c r="A244" s="61" t="s">
        <v>4</v>
      </c>
      <c r="B244" s="62" t="s">
        <v>151</v>
      </c>
      <c r="C244" s="343" t="s">
        <v>152</v>
      </c>
      <c r="D244" s="344"/>
      <c r="E244" s="63" t="s">
        <v>81</v>
      </c>
      <c r="F244" s="63" t="s">
        <v>81</v>
      </c>
      <c r="G244" s="64" t="s">
        <v>81</v>
      </c>
      <c r="H244" s="43">
        <f>SUM(H245:H249)</f>
        <v>0</v>
      </c>
      <c r="I244" s="43">
        <f>SUM(I245:I249)</f>
        <v>0</v>
      </c>
      <c r="J244" s="43">
        <f>SUM(J245:J249)</f>
        <v>0</v>
      </c>
      <c r="K244" s="65" t="s">
        <v>4</v>
      </c>
      <c r="AI244" s="49" t="s">
        <v>89</v>
      </c>
      <c r="AS244" s="43">
        <f>SUM(AJ245:AJ249)</f>
        <v>0</v>
      </c>
      <c r="AT244" s="43">
        <f>SUM(AK245:AK249)</f>
        <v>0</v>
      </c>
      <c r="AU244" s="43">
        <f>SUM(AL245:AL249)</f>
        <v>0</v>
      </c>
    </row>
    <row r="245" spans="1:76" x14ac:dyDescent="0.25">
      <c r="A245" s="1" t="s">
        <v>843</v>
      </c>
      <c r="B245" s="2" t="s">
        <v>844</v>
      </c>
      <c r="C245" s="258" t="s">
        <v>845</v>
      </c>
      <c r="D245" s="259"/>
      <c r="E245" s="2" t="s">
        <v>251</v>
      </c>
      <c r="F245" s="37">
        <v>36.6</v>
      </c>
      <c r="G245" s="66">
        <v>0</v>
      </c>
      <c r="H245" s="37">
        <f>F245*AO245</f>
        <v>0</v>
      </c>
      <c r="I245" s="37">
        <f>F245*AP245</f>
        <v>0</v>
      </c>
      <c r="J245" s="37">
        <f>F245*G245</f>
        <v>0</v>
      </c>
      <c r="K245" s="67" t="s">
        <v>217</v>
      </c>
      <c r="Z245" s="37">
        <f>IF(AQ245="5",BJ245,0)</f>
        <v>0</v>
      </c>
      <c r="AB245" s="37">
        <f>IF(AQ245="1",BH245,0)</f>
        <v>0</v>
      </c>
      <c r="AC245" s="37">
        <f>IF(AQ245="1",BI245,0)</f>
        <v>0</v>
      </c>
      <c r="AD245" s="37">
        <f>IF(AQ245="7",BH245,0)</f>
        <v>0</v>
      </c>
      <c r="AE245" s="37">
        <f>IF(AQ245="7",BI245,0)</f>
        <v>0</v>
      </c>
      <c r="AF245" s="37">
        <f>IF(AQ245="2",BH245,0)</f>
        <v>0</v>
      </c>
      <c r="AG245" s="37">
        <f>IF(AQ245="2",BI245,0)</f>
        <v>0</v>
      </c>
      <c r="AH245" s="37">
        <f>IF(AQ245="0",BJ245,0)</f>
        <v>0</v>
      </c>
      <c r="AI245" s="49" t="s">
        <v>89</v>
      </c>
      <c r="AJ245" s="37">
        <f>IF(AN245=0,J245,0)</f>
        <v>0</v>
      </c>
      <c r="AK245" s="37">
        <f>IF(AN245=12,J245,0)</f>
        <v>0</v>
      </c>
      <c r="AL245" s="37">
        <f>IF(AN245=21,J245,0)</f>
        <v>0</v>
      </c>
      <c r="AN245" s="37">
        <v>21</v>
      </c>
      <c r="AO245" s="37">
        <f>G245*0</f>
        <v>0</v>
      </c>
      <c r="AP245" s="37">
        <f>G245*(1-0)</f>
        <v>0</v>
      </c>
      <c r="AQ245" s="68" t="s">
        <v>237</v>
      </c>
      <c r="AV245" s="37">
        <f>AW245+AX245</f>
        <v>0</v>
      </c>
      <c r="AW245" s="37">
        <f>F245*AO245</f>
        <v>0</v>
      </c>
      <c r="AX245" s="37">
        <f>F245*AP245</f>
        <v>0</v>
      </c>
      <c r="AY245" s="68" t="s">
        <v>846</v>
      </c>
      <c r="AZ245" s="68" t="s">
        <v>833</v>
      </c>
      <c r="BA245" s="49" t="s">
        <v>220</v>
      </c>
      <c r="BC245" s="37">
        <f>AW245+AX245</f>
        <v>0</v>
      </c>
      <c r="BD245" s="37">
        <f>G245/(100-BE245)*100</f>
        <v>0</v>
      </c>
      <c r="BE245" s="37">
        <v>0</v>
      </c>
      <c r="BF245" s="37">
        <f>245</f>
        <v>245</v>
      </c>
      <c r="BH245" s="37">
        <f>F245*AO245</f>
        <v>0</v>
      </c>
      <c r="BI245" s="37">
        <f>F245*AP245</f>
        <v>0</v>
      </c>
      <c r="BJ245" s="37">
        <f>F245*G245</f>
        <v>0</v>
      </c>
      <c r="BK245" s="37"/>
      <c r="BL245" s="37">
        <v>776</v>
      </c>
      <c r="BW245" s="37">
        <v>21</v>
      </c>
      <c r="BX245" s="3" t="s">
        <v>845</v>
      </c>
    </row>
    <row r="246" spans="1:76" x14ac:dyDescent="0.25">
      <c r="A246" s="1" t="s">
        <v>847</v>
      </c>
      <c r="B246" s="2" t="s">
        <v>848</v>
      </c>
      <c r="C246" s="258" t="s">
        <v>849</v>
      </c>
      <c r="D246" s="259"/>
      <c r="E246" s="2" t="s">
        <v>251</v>
      </c>
      <c r="F246" s="37">
        <v>36.6</v>
      </c>
      <c r="G246" s="66">
        <v>0</v>
      </c>
      <c r="H246" s="37">
        <f>F246*AO246</f>
        <v>0</v>
      </c>
      <c r="I246" s="37">
        <f>F246*AP246</f>
        <v>0</v>
      </c>
      <c r="J246" s="37">
        <f>F246*G246</f>
        <v>0</v>
      </c>
      <c r="K246" s="67" t="s">
        <v>217</v>
      </c>
      <c r="Z246" s="37">
        <f>IF(AQ246="5",BJ246,0)</f>
        <v>0</v>
      </c>
      <c r="AB246" s="37">
        <f>IF(AQ246="1",BH246,0)</f>
        <v>0</v>
      </c>
      <c r="AC246" s="37">
        <f>IF(AQ246="1",BI246,0)</f>
        <v>0</v>
      </c>
      <c r="AD246" s="37">
        <f>IF(AQ246="7",BH246,0)</f>
        <v>0</v>
      </c>
      <c r="AE246" s="37">
        <f>IF(AQ246="7",BI246,0)</f>
        <v>0</v>
      </c>
      <c r="AF246" s="37">
        <f>IF(AQ246="2",BH246,0)</f>
        <v>0</v>
      </c>
      <c r="AG246" s="37">
        <f>IF(AQ246="2",BI246,0)</f>
        <v>0</v>
      </c>
      <c r="AH246" s="37">
        <f>IF(AQ246="0",BJ246,0)</f>
        <v>0</v>
      </c>
      <c r="AI246" s="49" t="s">
        <v>89</v>
      </c>
      <c r="AJ246" s="37">
        <f>IF(AN246=0,J246,0)</f>
        <v>0</v>
      </c>
      <c r="AK246" s="37">
        <f>IF(AN246=12,J246,0)</f>
        <v>0</v>
      </c>
      <c r="AL246" s="37">
        <f>IF(AN246=21,J246,0)</f>
        <v>0</v>
      </c>
      <c r="AN246" s="37">
        <v>21</v>
      </c>
      <c r="AO246" s="37">
        <f>G246*0</f>
        <v>0</v>
      </c>
      <c r="AP246" s="37">
        <f>G246*(1-0)</f>
        <v>0</v>
      </c>
      <c r="AQ246" s="68" t="s">
        <v>237</v>
      </c>
      <c r="AV246" s="37">
        <f>AW246+AX246</f>
        <v>0</v>
      </c>
      <c r="AW246" s="37">
        <f>F246*AO246</f>
        <v>0</v>
      </c>
      <c r="AX246" s="37">
        <f>F246*AP246</f>
        <v>0</v>
      </c>
      <c r="AY246" s="68" t="s">
        <v>846</v>
      </c>
      <c r="AZ246" s="68" t="s">
        <v>833</v>
      </c>
      <c r="BA246" s="49" t="s">
        <v>220</v>
      </c>
      <c r="BC246" s="37">
        <f>AW246+AX246</f>
        <v>0</v>
      </c>
      <c r="BD246" s="37">
        <f>G246/(100-BE246)*100</f>
        <v>0</v>
      </c>
      <c r="BE246" s="37">
        <v>0</v>
      </c>
      <c r="BF246" s="37">
        <f>246</f>
        <v>246</v>
      </c>
      <c r="BH246" s="37">
        <f>F246*AO246</f>
        <v>0</v>
      </c>
      <c r="BI246" s="37">
        <f>F246*AP246</f>
        <v>0</v>
      </c>
      <c r="BJ246" s="37">
        <f>F246*G246</f>
        <v>0</v>
      </c>
      <c r="BK246" s="37"/>
      <c r="BL246" s="37">
        <v>776</v>
      </c>
      <c r="BW246" s="37">
        <v>21</v>
      </c>
      <c r="BX246" s="3" t="s">
        <v>849</v>
      </c>
    </row>
    <row r="247" spans="1:76" x14ac:dyDescent="0.25">
      <c r="A247" s="1" t="s">
        <v>850</v>
      </c>
      <c r="B247" s="2" t="s">
        <v>851</v>
      </c>
      <c r="C247" s="258" t="s">
        <v>852</v>
      </c>
      <c r="D247" s="259"/>
      <c r="E247" s="2" t="s">
        <v>251</v>
      </c>
      <c r="F247" s="37">
        <v>36.6</v>
      </c>
      <c r="G247" s="66">
        <v>0</v>
      </c>
      <c r="H247" s="37">
        <f>F247*AO247</f>
        <v>0</v>
      </c>
      <c r="I247" s="37">
        <f>F247*AP247</f>
        <v>0</v>
      </c>
      <c r="J247" s="37">
        <f>F247*G247</f>
        <v>0</v>
      </c>
      <c r="K247" s="67" t="s">
        <v>217</v>
      </c>
      <c r="Z247" s="37">
        <f>IF(AQ247="5",BJ247,0)</f>
        <v>0</v>
      </c>
      <c r="AB247" s="37">
        <f>IF(AQ247="1",BH247,0)</f>
        <v>0</v>
      </c>
      <c r="AC247" s="37">
        <f>IF(AQ247="1",BI247,0)</f>
        <v>0</v>
      </c>
      <c r="AD247" s="37">
        <f>IF(AQ247="7",BH247,0)</f>
        <v>0</v>
      </c>
      <c r="AE247" s="37">
        <f>IF(AQ247="7",BI247,0)</f>
        <v>0</v>
      </c>
      <c r="AF247" s="37">
        <f>IF(AQ247="2",BH247,0)</f>
        <v>0</v>
      </c>
      <c r="AG247" s="37">
        <f>IF(AQ247="2",BI247,0)</f>
        <v>0</v>
      </c>
      <c r="AH247" s="37">
        <f>IF(AQ247="0",BJ247,0)</f>
        <v>0</v>
      </c>
      <c r="AI247" s="49" t="s">
        <v>89</v>
      </c>
      <c r="AJ247" s="37">
        <f>IF(AN247=0,J247,0)</f>
        <v>0</v>
      </c>
      <c r="AK247" s="37">
        <f>IF(AN247=12,J247,0)</f>
        <v>0</v>
      </c>
      <c r="AL247" s="37">
        <f>IF(AN247=21,J247,0)</f>
        <v>0</v>
      </c>
      <c r="AN247" s="37">
        <v>21</v>
      </c>
      <c r="AO247" s="37">
        <f>G247*1</f>
        <v>0</v>
      </c>
      <c r="AP247" s="37">
        <f>G247*(1-1)</f>
        <v>0</v>
      </c>
      <c r="AQ247" s="68" t="s">
        <v>237</v>
      </c>
      <c r="AV247" s="37">
        <f>AW247+AX247</f>
        <v>0</v>
      </c>
      <c r="AW247" s="37">
        <f>F247*AO247</f>
        <v>0</v>
      </c>
      <c r="AX247" s="37">
        <f>F247*AP247</f>
        <v>0</v>
      </c>
      <c r="AY247" s="68" t="s">
        <v>846</v>
      </c>
      <c r="AZ247" s="68" t="s">
        <v>833</v>
      </c>
      <c r="BA247" s="49" t="s">
        <v>220</v>
      </c>
      <c r="BC247" s="37">
        <f>AW247+AX247</f>
        <v>0</v>
      </c>
      <c r="BD247" s="37">
        <f>G247/(100-BE247)*100</f>
        <v>0</v>
      </c>
      <c r="BE247" s="37">
        <v>0</v>
      </c>
      <c r="BF247" s="37">
        <f>247</f>
        <v>247</v>
      </c>
      <c r="BH247" s="37">
        <f>F247*AO247</f>
        <v>0</v>
      </c>
      <c r="BI247" s="37">
        <f>F247*AP247</f>
        <v>0</v>
      </c>
      <c r="BJ247" s="37">
        <f>F247*G247</f>
        <v>0</v>
      </c>
      <c r="BK247" s="37"/>
      <c r="BL247" s="37">
        <v>776</v>
      </c>
      <c r="BW247" s="37">
        <v>21</v>
      </c>
      <c r="BX247" s="3" t="s">
        <v>852</v>
      </c>
    </row>
    <row r="248" spans="1:76" x14ac:dyDescent="0.25">
      <c r="A248" s="1" t="s">
        <v>853</v>
      </c>
      <c r="B248" s="2" t="s">
        <v>854</v>
      </c>
      <c r="C248" s="258" t="s">
        <v>855</v>
      </c>
      <c r="D248" s="259"/>
      <c r="E248" s="2" t="s">
        <v>251</v>
      </c>
      <c r="F248" s="37">
        <v>36.6</v>
      </c>
      <c r="G248" s="66">
        <v>0</v>
      </c>
      <c r="H248" s="37">
        <f>F248*AO248</f>
        <v>0</v>
      </c>
      <c r="I248" s="37">
        <f>F248*AP248</f>
        <v>0</v>
      </c>
      <c r="J248" s="37">
        <f>F248*G248</f>
        <v>0</v>
      </c>
      <c r="K248" s="67" t="s">
        <v>217</v>
      </c>
      <c r="Z248" s="37">
        <f>IF(AQ248="5",BJ248,0)</f>
        <v>0</v>
      </c>
      <c r="AB248" s="37">
        <f>IF(AQ248="1",BH248,0)</f>
        <v>0</v>
      </c>
      <c r="AC248" s="37">
        <f>IF(AQ248="1",BI248,0)</f>
        <v>0</v>
      </c>
      <c r="AD248" s="37">
        <f>IF(AQ248="7",BH248,0)</f>
        <v>0</v>
      </c>
      <c r="AE248" s="37">
        <f>IF(AQ248="7",BI248,0)</f>
        <v>0</v>
      </c>
      <c r="AF248" s="37">
        <f>IF(AQ248="2",BH248,0)</f>
        <v>0</v>
      </c>
      <c r="AG248" s="37">
        <f>IF(AQ248="2",BI248,0)</f>
        <v>0</v>
      </c>
      <c r="AH248" s="37">
        <f>IF(AQ248="0",BJ248,0)</f>
        <v>0</v>
      </c>
      <c r="AI248" s="49" t="s">
        <v>89</v>
      </c>
      <c r="AJ248" s="37">
        <f>IF(AN248=0,J248,0)</f>
        <v>0</v>
      </c>
      <c r="AK248" s="37">
        <f>IF(AN248=12,J248,0)</f>
        <v>0</v>
      </c>
      <c r="AL248" s="37">
        <f>IF(AN248=21,J248,0)</f>
        <v>0</v>
      </c>
      <c r="AN248" s="37">
        <v>21</v>
      </c>
      <c r="AO248" s="37">
        <f>G248*0.845773607</f>
        <v>0</v>
      </c>
      <c r="AP248" s="37">
        <f>G248*(1-0.845773607)</f>
        <v>0</v>
      </c>
      <c r="AQ248" s="68" t="s">
        <v>237</v>
      </c>
      <c r="AV248" s="37">
        <f>AW248+AX248</f>
        <v>0</v>
      </c>
      <c r="AW248" s="37">
        <f>F248*AO248</f>
        <v>0</v>
      </c>
      <c r="AX248" s="37">
        <f>F248*AP248</f>
        <v>0</v>
      </c>
      <c r="AY248" s="68" t="s">
        <v>846</v>
      </c>
      <c r="AZ248" s="68" t="s">
        <v>833</v>
      </c>
      <c r="BA248" s="49" t="s">
        <v>220</v>
      </c>
      <c r="BC248" s="37">
        <f>AW248+AX248</f>
        <v>0</v>
      </c>
      <c r="BD248" s="37">
        <f>G248/(100-BE248)*100</f>
        <v>0</v>
      </c>
      <c r="BE248" s="37">
        <v>0</v>
      </c>
      <c r="BF248" s="37">
        <f>248</f>
        <v>248</v>
      </c>
      <c r="BH248" s="37">
        <f>F248*AO248</f>
        <v>0</v>
      </c>
      <c r="BI248" s="37">
        <f>F248*AP248</f>
        <v>0</v>
      </c>
      <c r="BJ248" s="37">
        <f>F248*G248</f>
        <v>0</v>
      </c>
      <c r="BK248" s="37"/>
      <c r="BL248" s="37">
        <v>776</v>
      </c>
      <c r="BW248" s="37">
        <v>21</v>
      </c>
      <c r="BX248" s="3" t="s">
        <v>855</v>
      </c>
    </row>
    <row r="249" spans="1:76" x14ac:dyDescent="0.25">
      <c r="A249" s="1" t="s">
        <v>856</v>
      </c>
      <c r="B249" s="2" t="s">
        <v>857</v>
      </c>
      <c r="C249" s="258" t="s">
        <v>858</v>
      </c>
      <c r="D249" s="259"/>
      <c r="E249" s="2" t="s">
        <v>63</v>
      </c>
      <c r="F249" s="37">
        <v>370.79090000000002</v>
      </c>
      <c r="G249" s="66">
        <v>0</v>
      </c>
      <c r="H249" s="37">
        <f>F249*AO249</f>
        <v>0</v>
      </c>
      <c r="I249" s="37">
        <f>F249*AP249</f>
        <v>0</v>
      </c>
      <c r="J249" s="37">
        <f>F249*G249</f>
        <v>0</v>
      </c>
      <c r="K249" s="67" t="s">
        <v>217</v>
      </c>
      <c r="Z249" s="37">
        <f>IF(AQ249="5",BJ249,0)</f>
        <v>0</v>
      </c>
      <c r="AB249" s="37">
        <f>IF(AQ249="1",BH249,0)</f>
        <v>0</v>
      </c>
      <c r="AC249" s="37">
        <f>IF(AQ249="1",BI249,0)</f>
        <v>0</v>
      </c>
      <c r="AD249" s="37">
        <f>IF(AQ249="7",BH249,0)</f>
        <v>0</v>
      </c>
      <c r="AE249" s="37">
        <f>IF(AQ249="7",BI249,0)</f>
        <v>0</v>
      </c>
      <c r="AF249" s="37">
        <f>IF(AQ249="2",BH249,0)</f>
        <v>0</v>
      </c>
      <c r="AG249" s="37">
        <f>IF(AQ249="2",BI249,0)</f>
        <v>0</v>
      </c>
      <c r="AH249" s="37">
        <f>IF(AQ249="0",BJ249,0)</f>
        <v>0</v>
      </c>
      <c r="AI249" s="49" t="s">
        <v>89</v>
      </c>
      <c r="AJ249" s="37">
        <f>IF(AN249=0,J249,0)</f>
        <v>0</v>
      </c>
      <c r="AK249" s="37">
        <f>IF(AN249=12,J249,0)</f>
        <v>0</v>
      </c>
      <c r="AL249" s="37">
        <f>IF(AN249=21,J249,0)</f>
        <v>0</v>
      </c>
      <c r="AN249" s="37">
        <v>21</v>
      </c>
      <c r="AO249" s="37">
        <f>G249*0</f>
        <v>0</v>
      </c>
      <c r="AP249" s="37">
        <f>G249*(1-0)</f>
        <v>0</v>
      </c>
      <c r="AQ249" s="68" t="s">
        <v>231</v>
      </c>
      <c r="AV249" s="37">
        <f>AW249+AX249</f>
        <v>0</v>
      </c>
      <c r="AW249" s="37">
        <f>F249*AO249</f>
        <v>0</v>
      </c>
      <c r="AX249" s="37">
        <f>F249*AP249</f>
        <v>0</v>
      </c>
      <c r="AY249" s="68" t="s">
        <v>846</v>
      </c>
      <c r="AZ249" s="68" t="s">
        <v>833</v>
      </c>
      <c r="BA249" s="49" t="s">
        <v>220</v>
      </c>
      <c r="BC249" s="37">
        <f>AW249+AX249</f>
        <v>0</v>
      </c>
      <c r="BD249" s="37">
        <f>G249/(100-BE249)*100</f>
        <v>0</v>
      </c>
      <c r="BE249" s="37">
        <v>0</v>
      </c>
      <c r="BF249" s="37">
        <f>249</f>
        <v>249</v>
      </c>
      <c r="BH249" s="37">
        <f>F249*AO249</f>
        <v>0</v>
      </c>
      <c r="BI249" s="37">
        <f>F249*AP249</f>
        <v>0</v>
      </c>
      <c r="BJ249" s="37">
        <f>F249*G249</f>
        <v>0</v>
      </c>
      <c r="BK249" s="37"/>
      <c r="BL249" s="37">
        <v>776</v>
      </c>
      <c r="BW249" s="37">
        <v>21</v>
      </c>
      <c r="BX249" s="3" t="s">
        <v>858</v>
      </c>
    </row>
    <row r="250" spans="1:76" x14ac:dyDescent="0.25">
      <c r="A250" s="61" t="s">
        <v>4</v>
      </c>
      <c r="B250" s="62" t="s">
        <v>153</v>
      </c>
      <c r="C250" s="343" t="s">
        <v>154</v>
      </c>
      <c r="D250" s="344"/>
      <c r="E250" s="63" t="s">
        <v>81</v>
      </c>
      <c r="F250" s="63" t="s">
        <v>81</v>
      </c>
      <c r="G250" s="64" t="s">
        <v>81</v>
      </c>
      <c r="H250" s="43">
        <f>SUM(H251:H256)</f>
        <v>0</v>
      </c>
      <c r="I250" s="43">
        <f>SUM(I251:I256)</f>
        <v>0</v>
      </c>
      <c r="J250" s="43">
        <f>SUM(J251:J256)</f>
        <v>0</v>
      </c>
      <c r="K250" s="65" t="s">
        <v>4</v>
      </c>
      <c r="AI250" s="49" t="s">
        <v>89</v>
      </c>
      <c r="AS250" s="43">
        <f>SUM(AJ251:AJ256)</f>
        <v>0</v>
      </c>
      <c r="AT250" s="43">
        <f>SUM(AK251:AK256)</f>
        <v>0</v>
      </c>
      <c r="AU250" s="43">
        <f>SUM(AL251:AL256)</f>
        <v>0</v>
      </c>
    </row>
    <row r="251" spans="1:76" x14ac:dyDescent="0.25">
      <c r="A251" s="1" t="s">
        <v>859</v>
      </c>
      <c r="B251" s="2" t="s">
        <v>860</v>
      </c>
      <c r="C251" s="258" t="s">
        <v>861</v>
      </c>
      <c r="D251" s="259"/>
      <c r="E251" s="2" t="s">
        <v>251</v>
      </c>
      <c r="F251" s="37">
        <v>42.311999999999998</v>
      </c>
      <c r="G251" s="66">
        <v>0</v>
      </c>
      <c r="H251" s="37">
        <f t="shared" ref="H251:H256" si="226">F251*AO251</f>
        <v>0</v>
      </c>
      <c r="I251" s="37">
        <f t="shared" ref="I251:I256" si="227">F251*AP251</f>
        <v>0</v>
      </c>
      <c r="J251" s="37">
        <f t="shared" ref="J251:J256" si="228">F251*G251</f>
        <v>0</v>
      </c>
      <c r="K251" s="67" t="s">
        <v>217</v>
      </c>
      <c r="Z251" s="37">
        <f t="shared" ref="Z251:Z256" si="229">IF(AQ251="5",BJ251,0)</f>
        <v>0</v>
      </c>
      <c r="AB251" s="37">
        <f t="shared" ref="AB251:AB256" si="230">IF(AQ251="1",BH251,0)</f>
        <v>0</v>
      </c>
      <c r="AC251" s="37">
        <f t="shared" ref="AC251:AC256" si="231">IF(AQ251="1",BI251,0)</f>
        <v>0</v>
      </c>
      <c r="AD251" s="37">
        <f t="shared" ref="AD251:AD256" si="232">IF(AQ251="7",BH251,0)</f>
        <v>0</v>
      </c>
      <c r="AE251" s="37">
        <f t="shared" ref="AE251:AE256" si="233">IF(AQ251="7",BI251,0)</f>
        <v>0</v>
      </c>
      <c r="AF251" s="37">
        <f t="shared" ref="AF251:AF256" si="234">IF(AQ251="2",BH251,0)</f>
        <v>0</v>
      </c>
      <c r="AG251" s="37">
        <f t="shared" ref="AG251:AG256" si="235">IF(AQ251="2",BI251,0)</f>
        <v>0</v>
      </c>
      <c r="AH251" s="37">
        <f t="shared" ref="AH251:AH256" si="236">IF(AQ251="0",BJ251,0)</f>
        <v>0</v>
      </c>
      <c r="AI251" s="49" t="s">
        <v>89</v>
      </c>
      <c r="AJ251" s="37">
        <f t="shared" ref="AJ251:AJ256" si="237">IF(AN251=0,J251,0)</f>
        <v>0</v>
      </c>
      <c r="AK251" s="37">
        <f t="shared" ref="AK251:AK256" si="238">IF(AN251=12,J251,0)</f>
        <v>0</v>
      </c>
      <c r="AL251" s="37">
        <f t="shared" ref="AL251:AL256" si="239">IF(AN251=21,J251,0)</f>
        <v>0</v>
      </c>
      <c r="AN251" s="37">
        <v>21</v>
      </c>
      <c r="AO251" s="37">
        <f>G251*0</f>
        <v>0</v>
      </c>
      <c r="AP251" s="37">
        <f>G251*(1-0)</f>
        <v>0</v>
      </c>
      <c r="AQ251" s="68" t="s">
        <v>237</v>
      </c>
      <c r="AV251" s="37">
        <f t="shared" ref="AV251:AV256" si="240">AW251+AX251</f>
        <v>0</v>
      </c>
      <c r="AW251" s="37">
        <f t="shared" ref="AW251:AW256" si="241">F251*AO251</f>
        <v>0</v>
      </c>
      <c r="AX251" s="37">
        <f t="shared" ref="AX251:AX256" si="242">F251*AP251</f>
        <v>0</v>
      </c>
      <c r="AY251" s="68" t="s">
        <v>862</v>
      </c>
      <c r="AZ251" s="68" t="s">
        <v>863</v>
      </c>
      <c r="BA251" s="49" t="s">
        <v>220</v>
      </c>
      <c r="BC251" s="37">
        <f t="shared" ref="BC251:BC256" si="243">AW251+AX251</f>
        <v>0</v>
      </c>
      <c r="BD251" s="37">
        <f t="shared" ref="BD251:BD256" si="244">G251/(100-BE251)*100</f>
        <v>0</v>
      </c>
      <c r="BE251" s="37">
        <v>0</v>
      </c>
      <c r="BF251" s="37">
        <f>251</f>
        <v>251</v>
      </c>
      <c r="BH251" s="37">
        <f t="shared" ref="BH251:BH256" si="245">F251*AO251</f>
        <v>0</v>
      </c>
      <c r="BI251" s="37">
        <f t="shared" ref="BI251:BI256" si="246">F251*AP251</f>
        <v>0</v>
      </c>
      <c r="BJ251" s="37">
        <f t="shared" ref="BJ251:BJ256" si="247">F251*G251</f>
        <v>0</v>
      </c>
      <c r="BK251" s="37"/>
      <c r="BL251" s="37">
        <v>781</v>
      </c>
      <c r="BW251" s="37">
        <v>21</v>
      </c>
      <c r="BX251" s="3" t="s">
        <v>861</v>
      </c>
    </row>
    <row r="252" spans="1:76" x14ac:dyDescent="0.25">
      <c r="A252" s="1" t="s">
        <v>864</v>
      </c>
      <c r="B252" s="2" t="s">
        <v>865</v>
      </c>
      <c r="C252" s="258" t="s">
        <v>866</v>
      </c>
      <c r="D252" s="259"/>
      <c r="E252" s="2" t="s">
        <v>251</v>
      </c>
      <c r="F252" s="37">
        <v>42.311999999999998</v>
      </c>
      <c r="G252" s="66">
        <v>0</v>
      </c>
      <c r="H252" s="37">
        <f t="shared" si="226"/>
        <v>0</v>
      </c>
      <c r="I252" s="37">
        <f t="shared" si="227"/>
        <v>0</v>
      </c>
      <c r="J252" s="37">
        <f t="shared" si="228"/>
        <v>0</v>
      </c>
      <c r="K252" s="67" t="s">
        <v>217</v>
      </c>
      <c r="Z252" s="37">
        <f t="shared" si="229"/>
        <v>0</v>
      </c>
      <c r="AB252" s="37">
        <f t="shared" si="230"/>
        <v>0</v>
      </c>
      <c r="AC252" s="37">
        <f t="shared" si="231"/>
        <v>0</v>
      </c>
      <c r="AD252" s="37">
        <f t="shared" si="232"/>
        <v>0</v>
      </c>
      <c r="AE252" s="37">
        <f t="shared" si="233"/>
        <v>0</v>
      </c>
      <c r="AF252" s="37">
        <f t="shared" si="234"/>
        <v>0</v>
      </c>
      <c r="AG252" s="37">
        <f t="shared" si="235"/>
        <v>0</v>
      </c>
      <c r="AH252" s="37">
        <f t="shared" si="236"/>
        <v>0</v>
      </c>
      <c r="AI252" s="49" t="s">
        <v>89</v>
      </c>
      <c r="AJ252" s="37">
        <f t="shared" si="237"/>
        <v>0</v>
      </c>
      <c r="AK252" s="37">
        <f t="shared" si="238"/>
        <v>0</v>
      </c>
      <c r="AL252" s="37">
        <f t="shared" si="239"/>
        <v>0</v>
      </c>
      <c r="AN252" s="37">
        <v>21</v>
      </c>
      <c r="AO252" s="37">
        <f>G252*0</f>
        <v>0</v>
      </c>
      <c r="AP252" s="37">
        <f>G252*(1-0)</f>
        <v>0</v>
      </c>
      <c r="AQ252" s="68" t="s">
        <v>237</v>
      </c>
      <c r="AV252" s="37">
        <f t="shared" si="240"/>
        <v>0</v>
      </c>
      <c r="AW252" s="37">
        <f t="shared" si="241"/>
        <v>0</v>
      </c>
      <c r="AX252" s="37">
        <f t="shared" si="242"/>
        <v>0</v>
      </c>
      <c r="AY252" s="68" t="s">
        <v>862</v>
      </c>
      <c r="AZ252" s="68" t="s">
        <v>863</v>
      </c>
      <c r="BA252" s="49" t="s">
        <v>220</v>
      </c>
      <c r="BC252" s="37">
        <f t="shared" si="243"/>
        <v>0</v>
      </c>
      <c r="BD252" s="37">
        <f t="shared" si="244"/>
        <v>0</v>
      </c>
      <c r="BE252" s="37">
        <v>0</v>
      </c>
      <c r="BF252" s="37">
        <f>252</f>
        <v>252</v>
      </c>
      <c r="BH252" s="37">
        <f t="shared" si="245"/>
        <v>0</v>
      </c>
      <c r="BI252" s="37">
        <f t="shared" si="246"/>
        <v>0</v>
      </c>
      <c r="BJ252" s="37">
        <f t="shared" si="247"/>
        <v>0</v>
      </c>
      <c r="BK252" s="37"/>
      <c r="BL252" s="37">
        <v>781</v>
      </c>
      <c r="BW252" s="37">
        <v>21</v>
      </c>
      <c r="BX252" s="3" t="s">
        <v>866</v>
      </c>
    </row>
    <row r="253" spans="1:76" x14ac:dyDescent="0.25">
      <c r="A253" s="1" t="s">
        <v>867</v>
      </c>
      <c r="B253" s="2" t="s">
        <v>868</v>
      </c>
      <c r="C253" s="258" t="s">
        <v>869</v>
      </c>
      <c r="D253" s="259"/>
      <c r="E253" s="2" t="s">
        <v>251</v>
      </c>
      <c r="F253" s="37">
        <v>42.311999999999998</v>
      </c>
      <c r="G253" s="66">
        <v>0</v>
      </c>
      <c r="H253" s="37">
        <f t="shared" si="226"/>
        <v>0</v>
      </c>
      <c r="I253" s="37">
        <f t="shared" si="227"/>
        <v>0</v>
      </c>
      <c r="J253" s="37">
        <f t="shared" si="228"/>
        <v>0</v>
      </c>
      <c r="K253" s="67" t="s">
        <v>217</v>
      </c>
      <c r="Z253" s="37">
        <f t="shared" si="229"/>
        <v>0</v>
      </c>
      <c r="AB253" s="37">
        <f t="shared" si="230"/>
        <v>0</v>
      </c>
      <c r="AC253" s="37">
        <f t="shared" si="231"/>
        <v>0</v>
      </c>
      <c r="AD253" s="37">
        <f t="shared" si="232"/>
        <v>0</v>
      </c>
      <c r="AE253" s="37">
        <f t="shared" si="233"/>
        <v>0</v>
      </c>
      <c r="AF253" s="37">
        <f t="shared" si="234"/>
        <v>0</v>
      </c>
      <c r="AG253" s="37">
        <f t="shared" si="235"/>
        <v>0</v>
      </c>
      <c r="AH253" s="37">
        <f t="shared" si="236"/>
        <v>0</v>
      </c>
      <c r="AI253" s="49" t="s">
        <v>89</v>
      </c>
      <c r="AJ253" s="37">
        <f t="shared" si="237"/>
        <v>0</v>
      </c>
      <c r="AK253" s="37">
        <f t="shared" si="238"/>
        <v>0</v>
      </c>
      <c r="AL253" s="37">
        <f t="shared" si="239"/>
        <v>0</v>
      </c>
      <c r="AN253" s="37">
        <v>21</v>
      </c>
      <c r="AO253" s="37">
        <f>G253*0.402082541</f>
        <v>0</v>
      </c>
      <c r="AP253" s="37">
        <f>G253*(1-0.402082541)</f>
        <v>0</v>
      </c>
      <c r="AQ253" s="68" t="s">
        <v>237</v>
      </c>
      <c r="AV253" s="37">
        <f t="shared" si="240"/>
        <v>0</v>
      </c>
      <c r="AW253" s="37">
        <f t="shared" si="241"/>
        <v>0</v>
      </c>
      <c r="AX253" s="37">
        <f t="shared" si="242"/>
        <v>0</v>
      </c>
      <c r="AY253" s="68" t="s">
        <v>862</v>
      </c>
      <c r="AZ253" s="68" t="s">
        <v>863</v>
      </c>
      <c r="BA253" s="49" t="s">
        <v>220</v>
      </c>
      <c r="BC253" s="37">
        <f t="shared" si="243"/>
        <v>0</v>
      </c>
      <c r="BD253" s="37">
        <f t="shared" si="244"/>
        <v>0</v>
      </c>
      <c r="BE253" s="37">
        <v>0</v>
      </c>
      <c r="BF253" s="37">
        <f>253</f>
        <v>253</v>
      </c>
      <c r="BH253" s="37">
        <f t="shared" si="245"/>
        <v>0</v>
      </c>
      <c r="BI253" s="37">
        <f t="shared" si="246"/>
        <v>0</v>
      </c>
      <c r="BJ253" s="37">
        <f t="shared" si="247"/>
        <v>0</v>
      </c>
      <c r="BK253" s="37"/>
      <c r="BL253" s="37">
        <v>781</v>
      </c>
      <c r="BW253" s="37">
        <v>21</v>
      </c>
      <c r="BX253" s="3" t="s">
        <v>869</v>
      </c>
    </row>
    <row r="254" spans="1:76" x14ac:dyDescent="0.25">
      <c r="A254" s="1" t="s">
        <v>870</v>
      </c>
      <c r="B254" s="2" t="s">
        <v>871</v>
      </c>
      <c r="C254" s="258" t="s">
        <v>872</v>
      </c>
      <c r="D254" s="259"/>
      <c r="E254" s="2" t="s">
        <v>251</v>
      </c>
      <c r="F254" s="37">
        <v>42.311999999999998</v>
      </c>
      <c r="G254" s="66">
        <v>0</v>
      </c>
      <c r="H254" s="37">
        <f t="shared" si="226"/>
        <v>0</v>
      </c>
      <c r="I254" s="37">
        <f t="shared" si="227"/>
        <v>0</v>
      </c>
      <c r="J254" s="37">
        <f t="shared" si="228"/>
        <v>0</v>
      </c>
      <c r="K254" s="67" t="s">
        <v>217</v>
      </c>
      <c r="Z254" s="37">
        <f t="shared" si="229"/>
        <v>0</v>
      </c>
      <c r="AB254" s="37">
        <f t="shared" si="230"/>
        <v>0</v>
      </c>
      <c r="AC254" s="37">
        <f t="shared" si="231"/>
        <v>0</v>
      </c>
      <c r="AD254" s="37">
        <f t="shared" si="232"/>
        <v>0</v>
      </c>
      <c r="AE254" s="37">
        <f t="shared" si="233"/>
        <v>0</v>
      </c>
      <c r="AF254" s="37">
        <f t="shared" si="234"/>
        <v>0</v>
      </c>
      <c r="AG254" s="37">
        <f t="shared" si="235"/>
        <v>0</v>
      </c>
      <c r="AH254" s="37">
        <f t="shared" si="236"/>
        <v>0</v>
      </c>
      <c r="AI254" s="49" t="s">
        <v>89</v>
      </c>
      <c r="AJ254" s="37">
        <f t="shared" si="237"/>
        <v>0</v>
      </c>
      <c r="AK254" s="37">
        <f t="shared" si="238"/>
        <v>0</v>
      </c>
      <c r="AL254" s="37">
        <f t="shared" si="239"/>
        <v>0</v>
      </c>
      <c r="AN254" s="37">
        <v>21</v>
      </c>
      <c r="AO254" s="37">
        <f>G254*0.179140208</f>
        <v>0</v>
      </c>
      <c r="AP254" s="37">
        <f>G254*(1-0.179140208)</f>
        <v>0</v>
      </c>
      <c r="AQ254" s="68" t="s">
        <v>237</v>
      </c>
      <c r="AV254" s="37">
        <f t="shared" si="240"/>
        <v>0</v>
      </c>
      <c r="AW254" s="37">
        <f t="shared" si="241"/>
        <v>0</v>
      </c>
      <c r="AX254" s="37">
        <f t="shared" si="242"/>
        <v>0</v>
      </c>
      <c r="AY254" s="68" t="s">
        <v>862</v>
      </c>
      <c r="AZ254" s="68" t="s">
        <v>863</v>
      </c>
      <c r="BA254" s="49" t="s">
        <v>220</v>
      </c>
      <c r="BC254" s="37">
        <f t="shared" si="243"/>
        <v>0</v>
      </c>
      <c r="BD254" s="37">
        <f t="shared" si="244"/>
        <v>0</v>
      </c>
      <c r="BE254" s="37">
        <v>0</v>
      </c>
      <c r="BF254" s="37">
        <f>254</f>
        <v>254</v>
      </c>
      <c r="BH254" s="37">
        <f t="shared" si="245"/>
        <v>0</v>
      </c>
      <c r="BI254" s="37">
        <f t="shared" si="246"/>
        <v>0</v>
      </c>
      <c r="BJ254" s="37">
        <f t="shared" si="247"/>
        <v>0</v>
      </c>
      <c r="BK254" s="37"/>
      <c r="BL254" s="37">
        <v>781</v>
      </c>
      <c r="BW254" s="37">
        <v>21</v>
      </c>
      <c r="BX254" s="3" t="s">
        <v>872</v>
      </c>
    </row>
    <row r="255" spans="1:76" x14ac:dyDescent="0.25">
      <c r="A255" s="1" t="s">
        <v>873</v>
      </c>
      <c r="B255" s="2" t="s">
        <v>874</v>
      </c>
      <c r="C255" s="258" t="s">
        <v>875</v>
      </c>
      <c r="D255" s="259"/>
      <c r="E255" s="2" t="s">
        <v>251</v>
      </c>
      <c r="F255" s="37">
        <v>48.658799999999999</v>
      </c>
      <c r="G255" s="66">
        <v>0</v>
      </c>
      <c r="H255" s="37">
        <f t="shared" si="226"/>
        <v>0</v>
      </c>
      <c r="I255" s="37">
        <f t="shared" si="227"/>
        <v>0</v>
      </c>
      <c r="J255" s="37">
        <f t="shared" si="228"/>
        <v>0</v>
      </c>
      <c r="K255" s="67" t="s">
        <v>217</v>
      </c>
      <c r="Z255" s="37">
        <f t="shared" si="229"/>
        <v>0</v>
      </c>
      <c r="AB255" s="37">
        <f t="shared" si="230"/>
        <v>0</v>
      </c>
      <c r="AC255" s="37">
        <f t="shared" si="231"/>
        <v>0</v>
      </c>
      <c r="AD255" s="37">
        <f t="shared" si="232"/>
        <v>0</v>
      </c>
      <c r="AE255" s="37">
        <f t="shared" si="233"/>
        <v>0</v>
      </c>
      <c r="AF255" s="37">
        <f t="shared" si="234"/>
        <v>0</v>
      </c>
      <c r="AG255" s="37">
        <f t="shared" si="235"/>
        <v>0</v>
      </c>
      <c r="AH255" s="37">
        <f t="shared" si="236"/>
        <v>0</v>
      </c>
      <c r="AI255" s="49" t="s">
        <v>89</v>
      </c>
      <c r="AJ255" s="37">
        <f t="shared" si="237"/>
        <v>0</v>
      </c>
      <c r="AK255" s="37">
        <f t="shared" si="238"/>
        <v>0</v>
      </c>
      <c r="AL255" s="37">
        <f t="shared" si="239"/>
        <v>0</v>
      </c>
      <c r="AN255" s="37">
        <v>21</v>
      </c>
      <c r="AO255" s="37">
        <f>G255*1</f>
        <v>0</v>
      </c>
      <c r="AP255" s="37">
        <f>G255*(1-1)</f>
        <v>0</v>
      </c>
      <c r="AQ255" s="68" t="s">
        <v>237</v>
      </c>
      <c r="AV255" s="37">
        <f t="shared" si="240"/>
        <v>0</v>
      </c>
      <c r="AW255" s="37">
        <f t="shared" si="241"/>
        <v>0</v>
      </c>
      <c r="AX255" s="37">
        <f t="shared" si="242"/>
        <v>0</v>
      </c>
      <c r="AY255" s="68" t="s">
        <v>862</v>
      </c>
      <c r="AZ255" s="68" t="s">
        <v>863</v>
      </c>
      <c r="BA255" s="49" t="s">
        <v>220</v>
      </c>
      <c r="BC255" s="37">
        <f t="shared" si="243"/>
        <v>0</v>
      </c>
      <c r="BD255" s="37">
        <f t="shared" si="244"/>
        <v>0</v>
      </c>
      <c r="BE255" s="37">
        <v>0</v>
      </c>
      <c r="BF255" s="37">
        <f>255</f>
        <v>255</v>
      </c>
      <c r="BH255" s="37">
        <f t="shared" si="245"/>
        <v>0</v>
      </c>
      <c r="BI255" s="37">
        <f t="shared" si="246"/>
        <v>0</v>
      </c>
      <c r="BJ255" s="37">
        <f t="shared" si="247"/>
        <v>0</v>
      </c>
      <c r="BK255" s="37"/>
      <c r="BL255" s="37">
        <v>781</v>
      </c>
      <c r="BW255" s="37">
        <v>21</v>
      </c>
      <c r="BX255" s="3" t="s">
        <v>875</v>
      </c>
    </row>
    <row r="256" spans="1:76" x14ac:dyDescent="0.25">
      <c r="A256" s="1" t="s">
        <v>876</v>
      </c>
      <c r="B256" s="2" t="s">
        <v>877</v>
      </c>
      <c r="C256" s="258" t="s">
        <v>878</v>
      </c>
      <c r="D256" s="259"/>
      <c r="E256" s="2" t="s">
        <v>63</v>
      </c>
      <c r="F256" s="37">
        <v>751.36170000000004</v>
      </c>
      <c r="G256" s="66">
        <v>0</v>
      </c>
      <c r="H256" s="37">
        <f t="shared" si="226"/>
        <v>0</v>
      </c>
      <c r="I256" s="37">
        <f t="shared" si="227"/>
        <v>0</v>
      </c>
      <c r="J256" s="37">
        <f t="shared" si="228"/>
        <v>0</v>
      </c>
      <c r="K256" s="67" t="s">
        <v>217</v>
      </c>
      <c r="Z256" s="37">
        <f t="shared" si="229"/>
        <v>0</v>
      </c>
      <c r="AB256" s="37">
        <f t="shared" si="230"/>
        <v>0</v>
      </c>
      <c r="AC256" s="37">
        <f t="shared" si="231"/>
        <v>0</v>
      </c>
      <c r="AD256" s="37">
        <f t="shared" si="232"/>
        <v>0</v>
      </c>
      <c r="AE256" s="37">
        <f t="shared" si="233"/>
        <v>0</v>
      </c>
      <c r="AF256" s="37">
        <f t="shared" si="234"/>
        <v>0</v>
      </c>
      <c r="AG256" s="37">
        <f t="shared" si="235"/>
        <v>0</v>
      </c>
      <c r="AH256" s="37">
        <f t="shared" si="236"/>
        <v>0</v>
      </c>
      <c r="AI256" s="49" t="s">
        <v>89</v>
      </c>
      <c r="AJ256" s="37">
        <f t="shared" si="237"/>
        <v>0</v>
      </c>
      <c r="AK256" s="37">
        <f t="shared" si="238"/>
        <v>0</v>
      </c>
      <c r="AL256" s="37">
        <f t="shared" si="239"/>
        <v>0</v>
      </c>
      <c r="AN256" s="37">
        <v>21</v>
      </c>
      <c r="AO256" s="37">
        <f>G256*0</f>
        <v>0</v>
      </c>
      <c r="AP256" s="37">
        <f>G256*(1-0)</f>
        <v>0</v>
      </c>
      <c r="AQ256" s="68" t="s">
        <v>231</v>
      </c>
      <c r="AV256" s="37">
        <f t="shared" si="240"/>
        <v>0</v>
      </c>
      <c r="AW256" s="37">
        <f t="shared" si="241"/>
        <v>0</v>
      </c>
      <c r="AX256" s="37">
        <f t="shared" si="242"/>
        <v>0</v>
      </c>
      <c r="AY256" s="68" t="s">
        <v>862</v>
      </c>
      <c r="AZ256" s="68" t="s">
        <v>863</v>
      </c>
      <c r="BA256" s="49" t="s">
        <v>220</v>
      </c>
      <c r="BC256" s="37">
        <f t="shared" si="243"/>
        <v>0</v>
      </c>
      <c r="BD256" s="37">
        <f t="shared" si="244"/>
        <v>0</v>
      </c>
      <c r="BE256" s="37">
        <v>0</v>
      </c>
      <c r="BF256" s="37">
        <f>256</f>
        <v>256</v>
      </c>
      <c r="BH256" s="37">
        <f t="shared" si="245"/>
        <v>0</v>
      </c>
      <c r="BI256" s="37">
        <f t="shared" si="246"/>
        <v>0</v>
      </c>
      <c r="BJ256" s="37">
        <f t="shared" si="247"/>
        <v>0</v>
      </c>
      <c r="BK256" s="37"/>
      <c r="BL256" s="37">
        <v>781</v>
      </c>
      <c r="BW256" s="37">
        <v>21</v>
      </c>
      <c r="BX256" s="3" t="s">
        <v>878</v>
      </c>
    </row>
    <row r="257" spans="1:76" x14ac:dyDescent="0.25">
      <c r="A257" s="61" t="s">
        <v>4</v>
      </c>
      <c r="B257" s="62" t="s">
        <v>155</v>
      </c>
      <c r="C257" s="343" t="s">
        <v>156</v>
      </c>
      <c r="D257" s="344"/>
      <c r="E257" s="63" t="s">
        <v>81</v>
      </c>
      <c r="F257" s="63" t="s">
        <v>81</v>
      </c>
      <c r="G257" s="64" t="s">
        <v>81</v>
      </c>
      <c r="H257" s="43">
        <f>SUM(H258:H259)</f>
        <v>0</v>
      </c>
      <c r="I257" s="43">
        <f>SUM(I258:I259)</f>
        <v>0</v>
      </c>
      <c r="J257" s="43">
        <f>SUM(J258:J259)</f>
        <v>0</v>
      </c>
      <c r="K257" s="65" t="s">
        <v>4</v>
      </c>
      <c r="AI257" s="49" t="s">
        <v>89</v>
      </c>
      <c r="AS257" s="43">
        <f>SUM(AJ258:AJ259)</f>
        <v>0</v>
      </c>
      <c r="AT257" s="43">
        <f>SUM(AK258:AK259)</f>
        <v>0</v>
      </c>
      <c r="AU257" s="43">
        <f>SUM(AL258:AL259)</f>
        <v>0</v>
      </c>
    </row>
    <row r="258" spans="1:76" x14ac:dyDescent="0.25">
      <c r="A258" s="1" t="s">
        <v>879</v>
      </c>
      <c r="B258" s="2" t="s">
        <v>880</v>
      </c>
      <c r="C258" s="258" t="s">
        <v>881</v>
      </c>
      <c r="D258" s="259"/>
      <c r="E258" s="2" t="s">
        <v>251</v>
      </c>
      <c r="F258" s="37">
        <v>4.242</v>
      </c>
      <c r="G258" s="66">
        <v>0</v>
      </c>
      <c r="H258" s="37">
        <f>F258*AO258</f>
        <v>0</v>
      </c>
      <c r="I258" s="37">
        <f>F258*AP258</f>
        <v>0</v>
      </c>
      <c r="J258" s="37">
        <f>F258*G258</f>
        <v>0</v>
      </c>
      <c r="K258" s="67" t="s">
        <v>217</v>
      </c>
      <c r="Z258" s="37">
        <f>IF(AQ258="5",BJ258,0)</f>
        <v>0</v>
      </c>
      <c r="AB258" s="37">
        <f>IF(AQ258="1",BH258,0)</f>
        <v>0</v>
      </c>
      <c r="AC258" s="37">
        <f>IF(AQ258="1",BI258,0)</f>
        <v>0</v>
      </c>
      <c r="AD258" s="37">
        <f>IF(AQ258="7",BH258,0)</f>
        <v>0</v>
      </c>
      <c r="AE258" s="37">
        <f>IF(AQ258="7",BI258,0)</f>
        <v>0</v>
      </c>
      <c r="AF258" s="37">
        <f>IF(AQ258="2",BH258,0)</f>
        <v>0</v>
      </c>
      <c r="AG258" s="37">
        <f>IF(AQ258="2",BI258,0)</f>
        <v>0</v>
      </c>
      <c r="AH258" s="37">
        <f>IF(AQ258="0",BJ258,0)</f>
        <v>0</v>
      </c>
      <c r="AI258" s="49" t="s">
        <v>89</v>
      </c>
      <c r="AJ258" s="37">
        <f>IF(AN258=0,J258,0)</f>
        <v>0</v>
      </c>
      <c r="AK258" s="37">
        <f>IF(AN258=12,J258,0)</f>
        <v>0</v>
      </c>
      <c r="AL258" s="37">
        <f>IF(AN258=21,J258,0)</f>
        <v>0</v>
      </c>
      <c r="AN258" s="37">
        <v>21</v>
      </c>
      <c r="AO258" s="37">
        <f>G258*0.286091774</f>
        <v>0</v>
      </c>
      <c r="AP258" s="37">
        <f>G258*(1-0.286091774)</f>
        <v>0</v>
      </c>
      <c r="AQ258" s="68" t="s">
        <v>237</v>
      </c>
      <c r="AV258" s="37">
        <f>AW258+AX258</f>
        <v>0</v>
      </c>
      <c r="AW258" s="37">
        <f>F258*AO258</f>
        <v>0</v>
      </c>
      <c r="AX258" s="37">
        <f>F258*AP258</f>
        <v>0</v>
      </c>
      <c r="AY258" s="68" t="s">
        <v>882</v>
      </c>
      <c r="AZ258" s="68" t="s">
        <v>863</v>
      </c>
      <c r="BA258" s="49" t="s">
        <v>220</v>
      </c>
      <c r="BC258" s="37">
        <f>AW258+AX258</f>
        <v>0</v>
      </c>
      <c r="BD258" s="37">
        <f>G258/(100-BE258)*100</f>
        <v>0</v>
      </c>
      <c r="BE258" s="37">
        <v>0</v>
      </c>
      <c r="BF258" s="37">
        <f>258</f>
        <v>258</v>
      </c>
      <c r="BH258" s="37">
        <f>F258*AO258</f>
        <v>0</v>
      </c>
      <c r="BI258" s="37">
        <f>F258*AP258</f>
        <v>0</v>
      </c>
      <c r="BJ258" s="37">
        <f>F258*G258</f>
        <v>0</v>
      </c>
      <c r="BK258" s="37"/>
      <c r="BL258" s="37">
        <v>783</v>
      </c>
      <c r="BW258" s="37">
        <v>21</v>
      </c>
      <c r="BX258" s="3" t="s">
        <v>881</v>
      </c>
    </row>
    <row r="259" spans="1:76" x14ac:dyDescent="0.25">
      <c r="A259" s="1" t="s">
        <v>883</v>
      </c>
      <c r="B259" s="2" t="s">
        <v>884</v>
      </c>
      <c r="C259" s="258" t="s">
        <v>885</v>
      </c>
      <c r="D259" s="259"/>
      <c r="E259" s="2" t="s">
        <v>251</v>
      </c>
      <c r="F259" s="37">
        <v>7.3103199999999999</v>
      </c>
      <c r="G259" s="66">
        <v>0</v>
      </c>
      <c r="H259" s="37">
        <f>F259*AO259</f>
        <v>0</v>
      </c>
      <c r="I259" s="37">
        <f>F259*AP259</f>
        <v>0</v>
      </c>
      <c r="J259" s="37">
        <f>F259*G259</f>
        <v>0</v>
      </c>
      <c r="K259" s="67" t="s">
        <v>217</v>
      </c>
      <c r="Z259" s="37">
        <f>IF(AQ259="5",BJ259,0)</f>
        <v>0</v>
      </c>
      <c r="AB259" s="37">
        <f>IF(AQ259="1",BH259,0)</f>
        <v>0</v>
      </c>
      <c r="AC259" s="37">
        <f>IF(AQ259="1",BI259,0)</f>
        <v>0</v>
      </c>
      <c r="AD259" s="37">
        <f>IF(AQ259="7",BH259,0)</f>
        <v>0</v>
      </c>
      <c r="AE259" s="37">
        <f>IF(AQ259="7",BI259,0)</f>
        <v>0</v>
      </c>
      <c r="AF259" s="37">
        <f>IF(AQ259="2",BH259,0)</f>
        <v>0</v>
      </c>
      <c r="AG259" s="37">
        <f>IF(AQ259="2",BI259,0)</f>
        <v>0</v>
      </c>
      <c r="AH259" s="37">
        <f>IF(AQ259="0",BJ259,0)</f>
        <v>0</v>
      </c>
      <c r="AI259" s="49" t="s">
        <v>89</v>
      </c>
      <c r="AJ259" s="37">
        <f>IF(AN259=0,J259,0)</f>
        <v>0</v>
      </c>
      <c r="AK259" s="37">
        <f>IF(AN259=12,J259,0)</f>
        <v>0</v>
      </c>
      <c r="AL259" s="37">
        <f>IF(AN259=21,J259,0)</f>
        <v>0</v>
      </c>
      <c r="AN259" s="37">
        <v>21</v>
      </c>
      <c r="AO259" s="37">
        <f>G259*0.58929206</f>
        <v>0</v>
      </c>
      <c r="AP259" s="37">
        <f>G259*(1-0.58929206)</f>
        <v>0</v>
      </c>
      <c r="AQ259" s="68" t="s">
        <v>237</v>
      </c>
      <c r="AV259" s="37">
        <f>AW259+AX259</f>
        <v>0</v>
      </c>
      <c r="AW259" s="37">
        <f>F259*AO259</f>
        <v>0</v>
      </c>
      <c r="AX259" s="37">
        <f>F259*AP259</f>
        <v>0</v>
      </c>
      <c r="AY259" s="68" t="s">
        <v>882</v>
      </c>
      <c r="AZ259" s="68" t="s">
        <v>863</v>
      </c>
      <c r="BA259" s="49" t="s">
        <v>220</v>
      </c>
      <c r="BC259" s="37">
        <f>AW259+AX259</f>
        <v>0</v>
      </c>
      <c r="BD259" s="37">
        <f>G259/(100-BE259)*100</f>
        <v>0</v>
      </c>
      <c r="BE259" s="37">
        <v>0</v>
      </c>
      <c r="BF259" s="37">
        <f>259</f>
        <v>259</v>
      </c>
      <c r="BH259" s="37">
        <f>F259*AO259</f>
        <v>0</v>
      </c>
      <c r="BI259" s="37">
        <f>F259*AP259</f>
        <v>0</v>
      </c>
      <c r="BJ259" s="37">
        <f>F259*G259</f>
        <v>0</v>
      </c>
      <c r="BK259" s="37"/>
      <c r="BL259" s="37">
        <v>783</v>
      </c>
      <c r="BW259" s="37">
        <v>21</v>
      </c>
      <c r="BX259" s="3" t="s">
        <v>885</v>
      </c>
    </row>
    <row r="260" spans="1:76" x14ac:dyDescent="0.25">
      <c r="A260" s="61" t="s">
        <v>4</v>
      </c>
      <c r="B260" s="62" t="s">
        <v>157</v>
      </c>
      <c r="C260" s="343" t="s">
        <v>158</v>
      </c>
      <c r="D260" s="344"/>
      <c r="E260" s="63" t="s">
        <v>81</v>
      </c>
      <c r="F260" s="63" t="s">
        <v>81</v>
      </c>
      <c r="G260" s="64" t="s">
        <v>81</v>
      </c>
      <c r="H260" s="43">
        <f>SUM(H261:H265)</f>
        <v>0</v>
      </c>
      <c r="I260" s="43">
        <f>SUM(I261:I265)</f>
        <v>0</v>
      </c>
      <c r="J260" s="43">
        <f>SUM(J261:J265)</f>
        <v>0</v>
      </c>
      <c r="K260" s="65" t="s">
        <v>4</v>
      </c>
      <c r="AI260" s="49" t="s">
        <v>89</v>
      </c>
      <c r="AS260" s="43">
        <f>SUM(AJ261:AJ265)</f>
        <v>0</v>
      </c>
      <c r="AT260" s="43">
        <f>SUM(AK261:AK265)</f>
        <v>0</v>
      </c>
      <c r="AU260" s="43">
        <f>SUM(AL261:AL265)</f>
        <v>0</v>
      </c>
    </row>
    <row r="261" spans="1:76" x14ac:dyDescent="0.25">
      <c r="A261" s="1" t="s">
        <v>886</v>
      </c>
      <c r="B261" s="2" t="s">
        <v>887</v>
      </c>
      <c r="C261" s="258" t="s">
        <v>888</v>
      </c>
      <c r="D261" s="259"/>
      <c r="E261" s="2" t="s">
        <v>251</v>
      </c>
      <c r="F261" s="37">
        <v>198.97</v>
      </c>
      <c r="G261" s="66">
        <v>0</v>
      </c>
      <c r="H261" s="37">
        <f>F261*AO261</f>
        <v>0</v>
      </c>
      <c r="I261" s="37">
        <f>F261*AP261</f>
        <v>0</v>
      </c>
      <c r="J261" s="37">
        <f>F261*G261</f>
        <v>0</v>
      </c>
      <c r="K261" s="67" t="s">
        <v>357</v>
      </c>
      <c r="Z261" s="37">
        <f>IF(AQ261="5",BJ261,0)</f>
        <v>0</v>
      </c>
      <c r="AB261" s="37">
        <f>IF(AQ261="1",BH261,0)</f>
        <v>0</v>
      </c>
      <c r="AC261" s="37">
        <f>IF(AQ261="1",BI261,0)</f>
        <v>0</v>
      </c>
      <c r="AD261" s="37">
        <f>IF(AQ261="7",BH261,0)</f>
        <v>0</v>
      </c>
      <c r="AE261" s="37">
        <f>IF(AQ261="7",BI261,0)</f>
        <v>0</v>
      </c>
      <c r="AF261" s="37">
        <f>IF(AQ261="2",BH261,0)</f>
        <v>0</v>
      </c>
      <c r="AG261" s="37">
        <f>IF(AQ261="2",BI261,0)</f>
        <v>0</v>
      </c>
      <c r="AH261" s="37">
        <f>IF(AQ261="0",BJ261,0)</f>
        <v>0</v>
      </c>
      <c r="AI261" s="49" t="s">
        <v>89</v>
      </c>
      <c r="AJ261" s="37">
        <f>IF(AN261=0,J261,0)</f>
        <v>0</v>
      </c>
      <c r="AK261" s="37">
        <f>IF(AN261=12,J261,0)</f>
        <v>0</v>
      </c>
      <c r="AL261" s="37">
        <f>IF(AN261=21,J261,0)</f>
        <v>0</v>
      </c>
      <c r="AN261" s="37">
        <v>21</v>
      </c>
      <c r="AO261" s="37">
        <f>G261*0.624</f>
        <v>0</v>
      </c>
      <c r="AP261" s="37">
        <f>G261*(1-0.624)</f>
        <v>0</v>
      </c>
      <c r="AQ261" s="68" t="s">
        <v>237</v>
      </c>
      <c r="AV261" s="37">
        <f>AW261+AX261</f>
        <v>0</v>
      </c>
      <c r="AW261" s="37">
        <f>F261*AO261</f>
        <v>0</v>
      </c>
      <c r="AX261" s="37">
        <f>F261*AP261</f>
        <v>0</v>
      </c>
      <c r="AY261" s="68" t="s">
        <v>889</v>
      </c>
      <c r="AZ261" s="68" t="s">
        <v>863</v>
      </c>
      <c r="BA261" s="49" t="s">
        <v>220</v>
      </c>
      <c r="BC261" s="37">
        <f>AW261+AX261</f>
        <v>0</v>
      </c>
      <c r="BD261" s="37">
        <f>G261/(100-BE261)*100</f>
        <v>0</v>
      </c>
      <c r="BE261" s="37">
        <v>0</v>
      </c>
      <c r="BF261" s="37">
        <f>261</f>
        <v>261</v>
      </c>
      <c r="BH261" s="37">
        <f>F261*AO261</f>
        <v>0</v>
      </c>
      <c r="BI261" s="37">
        <f>F261*AP261</f>
        <v>0</v>
      </c>
      <c r="BJ261" s="37">
        <f>F261*G261</f>
        <v>0</v>
      </c>
      <c r="BK261" s="37"/>
      <c r="BL261" s="37">
        <v>784</v>
      </c>
      <c r="BW261" s="37">
        <v>21</v>
      </c>
      <c r="BX261" s="3" t="s">
        <v>888</v>
      </c>
    </row>
    <row r="262" spans="1:76" x14ac:dyDescent="0.25">
      <c r="A262" s="1" t="s">
        <v>890</v>
      </c>
      <c r="B262" s="2" t="s">
        <v>891</v>
      </c>
      <c r="C262" s="258" t="s">
        <v>892</v>
      </c>
      <c r="D262" s="259"/>
      <c r="E262" s="2" t="s">
        <v>251</v>
      </c>
      <c r="F262" s="37">
        <v>176.10040000000001</v>
      </c>
      <c r="G262" s="66">
        <v>0</v>
      </c>
      <c r="H262" s="37">
        <f>F262*AO262</f>
        <v>0</v>
      </c>
      <c r="I262" s="37">
        <f>F262*AP262</f>
        <v>0</v>
      </c>
      <c r="J262" s="37">
        <f>F262*G262</f>
        <v>0</v>
      </c>
      <c r="K262" s="67" t="s">
        <v>217</v>
      </c>
      <c r="Z262" s="37">
        <f>IF(AQ262="5",BJ262,0)</f>
        <v>0</v>
      </c>
      <c r="AB262" s="37">
        <f>IF(AQ262="1",BH262,0)</f>
        <v>0</v>
      </c>
      <c r="AC262" s="37">
        <f>IF(AQ262="1",BI262,0)</f>
        <v>0</v>
      </c>
      <c r="AD262" s="37">
        <f>IF(AQ262="7",BH262,0)</f>
        <v>0</v>
      </c>
      <c r="AE262" s="37">
        <f>IF(AQ262="7",BI262,0)</f>
        <v>0</v>
      </c>
      <c r="AF262" s="37">
        <f>IF(AQ262="2",BH262,0)</f>
        <v>0</v>
      </c>
      <c r="AG262" s="37">
        <f>IF(AQ262="2",BI262,0)</f>
        <v>0</v>
      </c>
      <c r="AH262" s="37">
        <f>IF(AQ262="0",BJ262,0)</f>
        <v>0</v>
      </c>
      <c r="AI262" s="49" t="s">
        <v>89</v>
      </c>
      <c r="AJ262" s="37">
        <f>IF(AN262=0,J262,0)</f>
        <v>0</v>
      </c>
      <c r="AK262" s="37">
        <f>IF(AN262=12,J262,0)</f>
        <v>0</v>
      </c>
      <c r="AL262" s="37">
        <f>IF(AN262=21,J262,0)</f>
        <v>0</v>
      </c>
      <c r="AN262" s="37">
        <v>21</v>
      </c>
      <c r="AO262" s="37">
        <f>G262*0.153915713</f>
        <v>0</v>
      </c>
      <c r="AP262" s="37">
        <f>G262*(1-0.153915713)</f>
        <v>0</v>
      </c>
      <c r="AQ262" s="68" t="s">
        <v>237</v>
      </c>
      <c r="AV262" s="37">
        <f>AW262+AX262</f>
        <v>0</v>
      </c>
      <c r="AW262" s="37">
        <f>F262*AO262</f>
        <v>0</v>
      </c>
      <c r="AX262" s="37">
        <f>F262*AP262</f>
        <v>0</v>
      </c>
      <c r="AY262" s="68" t="s">
        <v>889</v>
      </c>
      <c r="AZ262" s="68" t="s">
        <v>863</v>
      </c>
      <c r="BA262" s="49" t="s">
        <v>220</v>
      </c>
      <c r="BC262" s="37">
        <f>AW262+AX262</f>
        <v>0</v>
      </c>
      <c r="BD262" s="37">
        <f>G262/(100-BE262)*100</f>
        <v>0</v>
      </c>
      <c r="BE262" s="37">
        <v>0</v>
      </c>
      <c r="BF262" s="37">
        <f>262</f>
        <v>262</v>
      </c>
      <c r="BH262" s="37">
        <f>F262*AO262</f>
        <v>0</v>
      </c>
      <c r="BI262" s="37">
        <f>F262*AP262</f>
        <v>0</v>
      </c>
      <c r="BJ262" s="37">
        <f>F262*G262</f>
        <v>0</v>
      </c>
      <c r="BK262" s="37"/>
      <c r="BL262" s="37">
        <v>784</v>
      </c>
      <c r="BW262" s="37">
        <v>21</v>
      </c>
      <c r="BX262" s="3" t="s">
        <v>892</v>
      </c>
    </row>
    <row r="263" spans="1:76" x14ac:dyDescent="0.25">
      <c r="A263" s="1" t="s">
        <v>893</v>
      </c>
      <c r="B263" s="2" t="s">
        <v>894</v>
      </c>
      <c r="C263" s="258" t="s">
        <v>895</v>
      </c>
      <c r="D263" s="259"/>
      <c r="E263" s="2" t="s">
        <v>251</v>
      </c>
      <c r="F263" s="37">
        <v>176.10040000000001</v>
      </c>
      <c r="G263" s="66">
        <v>0</v>
      </c>
      <c r="H263" s="37">
        <f>F263*AO263</f>
        <v>0</v>
      </c>
      <c r="I263" s="37">
        <f>F263*AP263</f>
        <v>0</v>
      </c>
      <c r="J263" s="37">
        <f>F263*G263</f>
        <v>0</v>
      </c>
      <c r="K263" s="67" t="s">
        <v>217</v>
      </c>
      <c r="Z263" s="37">
        <f>IF(AQ263="5",BJ263,0)</f>
        <v>0</v>
      </c>
      <c r="AB263" s="37">
        <f>IF(AQ263="1",BH263,0)</f>
        <v>0</v>
      </c>
      <c r="AC263" s="37">
        <f>IF(AQ263="1",BI263,0)</f>
        <v>0</v>
      </c>
      <c r="AD263" s="37">
        <f>IF(AQ263="7",BH263,0)</f>
        <v>0</v>
      </c>
      <c r="AE263" s="37">
        <f>IF(AQ263="7",BI263,0)</f>
        <v>0</v>
      </c>
      <c r="AF263" s="37">
        <f>IF(AQ263="2",BH263,0)</f>
        <v>0</v>
      </c>
      <c r="AG263" s="37">
        <f>IF(AQ263="2",BI263,0)</f>
        <v>0</v>
      </c>
      <c r="AH263" s="37">
        <f>IF(AQ263="0",BJ263,0)</f>
        <v>0</v>
      </c>
      <c r="AI263" s="49" t="s">
        <v>89</v>
      </c>
      <c r="AJ263" s="37">
        <f>IF(AN263=0,J263,0)</f>
        <v>0</v>
      </c>
      <c r="AK263" s="37">
        <f>IF(AN263=12,J263,0)</f>
        <v>0</v>
      </c>
      <c r="AL263" s="37">
        <f>IF(AN263=21,J263,0)</f>
        <v>0</v>
      </c>
      <c r="AN263" s="37">
        <v>21</v>
      </c>
      <c r="AO263" s="37">
        <f>G263*0.266006821</f>
        <v>0</v>
      </c>
      <c r="AP263" s="37">
        <f>G263*(1-0.266006821)</f>
        <v>0</v>
      </c>
      <c r="AQ263" s="68" t="s">
        <v>237</v>
      </c>
      <c r="AV263" s="37">
        <f>AW263+AX263</f>
        <v>0</v>
      </c>
      <c r="AW263" s="37">
        <f>F263*AO263</f>
        <v>0</v>
      </c>
      <c r="AX263" s="37">
        <f>F263*AP263</f>
        <v>0</v>
      </c>
      <c r="AY263" s="68" t="s">
        <v>889</v>
      </c>
      <c r="AZ263" s="68" t="s">
        <v>863</v>
      </c>
      <c r="BA263" s="49" t="s">
        <v>220</v>
      </c>
      <c r="BC263" s="37">
        <f>AW263+AX263</f>
        <v>0</v>
      </c>
      <c r="BD263" s="37">
        <f>G263/(100-BE263)*100</f>
        <v>0</v>
      </c>
      <c r="BE263" s="37">
        <v>0</v>
      </c>
      <c r="BF263" s="37">
        <f>263</f>
        <v>263</v>
      </c>
      <c r="BH263" s="37">
        <f>F263*AO263</f>
        <v>0</v>
      </c>
      <c r="BI263" s="37">
        <f>F263*AP263</f>
        <v>0</v>
      </c>
      <c r="BJ263" s="37">
        <f>F263*G263</f>
        <v>0</v>
      </c>
      <c r="BK263" s="37"/>
      <c r="BL263" s="37">
        <v>784</v>
      </c>
      <c r="BW263" s="37">
        <v>21</v>
      </c>
      <c r="BX263" s="3" t="s">
        <v>895</v>
      </c>
    </row>
    <row r="264" spans="1:76" x14ac:dyDescent="0.25">
      <c r="A264" s="1" t="s">
        <v>896</v>
      </c>
      <c r="B264" s="2" t="s">
        <v>897</v>
      </c>
      <c r="C264" s="258" t="s">
        <v>898</v>
      </c>
      <c r="D264" s="259"/>
      <c r="E264" s="2" t="s">
        <v>251</v>
      </c>
      <c r="F264" s="37">
        <v>99.090999999999994</v>
      </c>
      <c r="G264" s="66">
        <v>0</v>
      </c>
      <c r="H264" s="37">
        <f>F264*AO264</f>
        <v>0</v>
      </c>
      <c r="I264" s="37">
        <f>F264*AP264</f>
        <v>0</v>
      </c>
      <c r="J264" s="37">
        <f>F264*G264</f>
        <v>0</v>
      </c>
      <c r="K264" s="67" t="s">
        <v>217</v>
      </c>
      <c r="Z264" s="37">
        <f>IF(AQ264="5",BJ264,0)</f>
        <v>0</v>
      </c>
      <c r="AB264" s="37">
        <f>IF(AQ264="1",BH264,0)</f>
        <v>0</v>
      </c>
      <c r="AC264" s="37">
        <f>IF(AQ264="1",BI264,0)</f>
        <v>0</v>
      </c>
      <c r="AD264" s="37">
        <f>IF(AQ264="7",BH264,0)</f>
        <v>0</v>
      </c>
      <c r="AE264" s="37">
        <f>IF(AQ264="7",BI264,0)</f>
        <v>0</v>
      </c>
      <c r="AF264" s="37">
        <f>IF(AQ264="2",BH264,0)</f>
        <v>0</v>
      </c>
      <c r="AG264" s="37">
        <f>IF(AQ264="2",BI264,0)</f>
        <v>0</v>
      </c>
      <c r="AH264" s="37">
        <f>IF(AQ264="0",BJ264,0)</f>
        <v>0</v>
      </c>
      <c r="AI264" s="49" t="s">
        <v>89</v>
      </c>
      <c r="AJ264" s="37">
        <f>IF(AN264=0,J264,0)</f>
        <v>0</v>
      </c>
      <c r="AK264" s="37">
        <f>IF(AN264=12,J264,0)</f>
        <v>0</v>
      </c>
      <c r="AL264" s="37">
        <f>IF(AN264=21,J264,0)</f>
        <v>0</v>
      </c>
      <c r="AN264" s="37">
        <v>21</v>
      </c>
      <c r="AO264" s="37">
        <f>G264*0.598405023</f>
        <v>0</v>
      </c>
      <c r="AP264" s="37">
        <f>G264*(1-0.598405023)</f>
        <v>0</v>
      </c>
      <c r="AQ264" s="68" t="s">
        <v>237</v>
      </c>
      <c r="AV264" s="37">
        <f>AW264+AX264</f>
        <v>0</v>
      </c>
      <c r="AW264" s="37">
        <f>F264*AO264</f>
        <v>0</v>
      </c>
      <c r="AX264" s="37">
        <f>F264*AP264</f>
        <v>0</v>
      </c>
      <c r="AY264" s="68" t="s">
        <v>889</v>
      </c>
      <c r="AZ264" s="68" t="s">
        <v>863</v>
      </c>
      <c r="BA264" s="49" t="s">
        <v>220</v>
      </c>
      <c r="BC264" s="37">
        <f>AW264+AX264</f>
        <v>0</v>
      </c>
      <c r="BD264" s="37">
        <f>G264/(100-BE264)*100</f>
        <v>0</v>
      </c>
      <c r="BE264" s="37">
        <v>0</v>
      </c>
      <c r="BF264" s="37">
        <f>264</f>
        <v>264</v>
      </c>
      <c r="BH264" s="37">
        <f>F264*AO264</f>
        <v>0</v>
      </c>
      <c r="BI264" s="37">
        <f>F264*AP264</f>
        <v>0</v>
      </c>
      <c r="BJ264" s="37">
        <f>F264*G264</f>
        <v>0</v>
      </c>
      <c r="BK264" s="37"/>
      <c r="BL264" s="37">
        <v>784</v>
      </c>
      <c r="BW264" s="37">
        <v>21</v>
      </c>
      <c r="BX264" s="3" t="s">
        <v>898</v>
      </c>
    </row>
    <row r="265" spans="1:76" x14ac:dyDescent="0.25">
      <c r="A265" s="1" t="s">
        <v>899</v>
      </c>
      <c r="B265" s="2" t="s">
        <v>900</v>
      </c>
      <c r="C265" s="258" t="s">
        <v>901</v>
      </c>
      <c r="D265" s="259"/>
      <c r="E265" s="2" t="s">
        <v>251</v>
      </c>
      <c r="F265" s="37">
        <v>99.090999999999994</v>
      </c>
      <c r="G265" s="66">
        <v>0</v>
      </c>
      <c r="H265" s="37">
        <f>F265*AO265</f>
        <v>0</v>
      </c>
      <c r="I265" s="37">
        <f>F265*AP265</f>
        <v>0</v>
      </c>
      <c r="J265" s="37">
        <f>F265*G265</f>
        <v>0</v>
      </c>
      <c r="K265" s="67" t="s">
        <v>217</v>
      </c>
      <c r="Z265" s="37">
        <f>IF(AQ265="5",BJ265,0)</f>
        <v>0</v>
      </c>
      <c r="AB265" s="37">
        <f>IF(AQ265="1",BH265,0)</f>
        <v>0</v>
      </c>
      <c r="AC265" s="37">
        <f>IF(AQ265="1",BI265,0)</f>
        <v>0</v>
      </c>
      <c r="AD265" s="37">
        <f>IF(AQ265="7",BH265,0)</f>
        <v>0</v>
      </c>
      <c r="AE265" s="37">
        <f>IF(AQ265="7",BI265,0)</f>
        <v>0</v>
      </c>
      <c r="AF265" s="37">
        <f>IF(AQ265="2",BH265,0)</f>
        <v>0</v>
      </c>
      <c r="AG265" s="37">
        <f>IF(AQ265="2",BI265,0)</f>
        <v>0</v>
      </c>
      <c r="AH265" s="37">
        <f>IF(AQ265="0",BJ265,0)</f>
        <v>0</v>
      </c>
      <c r="AI265" s="49" t="s">
        <v>89</v>
      </c>
      <c r="AJ265" s="37">
        <f>IF(AN265=0,J265,0)</f>
        <v>0</v>
      </c>
      <c r="AK265" s="37">
        <f>IF(AN265=12,J265,0)</f>
        <v>0</v>
      </c>
      <c r="AL265" s="37">
        <f>IF(AN265=21,J265,0)</f>
        <v>0</v>
      </c>
      <c r="AN265" s="37">
        <v>21</v>
      </c>
      <c r="AO265" s="37">
        <f>G265*0.190844979</f>
        <v>0</v>
      </c>
      <c r="AP265" s="37">
        <f>G265*(1-0.190844979)</f>
        <v>0</v>
      </c>
      <c r="AQ265" s="68" t="s">
        <v>237</v>
      </c>
      <c r="AV265" s="37">
        <f>AW265+AX265</f>
        <v>0</v>
      </c>
      <c r="AW265" s="37">
        <f>F265*AO265</f>
        <v>0</v>
      </c>
      <c r="AX265" s="37">
        <f>F265*AP265</f>
        <v>0</v>
      </c>
      <c r="AY265" s="68" t="s">
        <v>889</v>
      </c>
      <c r="AZ265" s="68" t="s">
        <v>863</v>
      </c>
      <c r="BA265" s="49" t="s">
        <v>220</v>
      </c>
      <c r="BC265" s="37">
        <f>AW265+AX265</f>
        <v>0</v>
      </c>
      <c r="BD265" s="37">
        <f>G265/(100-BE265)*100</f>
        <v>0</v>
      </c>
      <c r="BE265" s="37">
        <v>0</v>
      </c>
      <c r="BF265" s="37">
        <f>265</f>
        <v>265</v>
      </c>
      <c r="BH265" s="37">
        <f>F265*AO265</f>
        <v>0</v>
      </c>
      <c r="BI265" s="37">
        <f>F265*AP265</f>
        <v>0</v>
      </c>
      <c r="BJ265" s="37">
        <f>F265*G265</f>
        <v>0</v>
      </c>
      <c r="BK265" s="37"/>
      <c r="BL265" s="37">
        <v>784</v>
      </c>
      <c r="BW265" s="37">
        <v>21</v>
      </c>
      <c r="BX265" s="3" t="s">
        <v>901</v>
      </c>
    </row>
    <row r="266" spans="1:76" x14ac:dyDescent="0.25">
      <c r="A266" s="61" t="s">
        <v>4</v>
      </c>
      <c r="B266" s="62" t="s">
        <v>159</v>
      </c>
      <c r="C266" s="343" t="s">
        <v>160</v>
      </c>
      <c r="D266" s="344"/>
      <c r="E266" s="63" t="s">
        <v>81</v>
      </c>
      <c r="F266" s="63" t="s">
        <v>81</v>
      </c>
      <c r="G266" s="64" t="s">
        <v>81</v>
      </c>
      <c r="H266" s="43">
        <f>SUM(H267:H268)</f>
        <v>0</v>
      </c>
      <c r="I266" s="43">
        <f>SUM(I267:I268)</f>
        <v>0</v>
      </c>
      <c r="J266" s="43">
        <f>SUM(J267:J268)</f>
        <v>0</v>
      </c>
      <c r="K266" s="65" t="s">
        <v>4</v>
      </c>
      <c r="AI266" s="49" t="s">
        <v>89</v>
      </c>
      <c r="AS266" s="43">
        <f>SUM(AJ267:AJ268)</f>
        <v>0</v>
      </c>
      <c r="AT266" s="43">
        <f>SUM(AK267:AK268)</f>
        <v>0</v>
      </c>
      <c r="AU266" s="43">
        <f>SUM(AL267:AL268)</f>
        <v>0</v>
      </c>
    </row>
    <row r="267" spans="1:76" x14ac:dyDescent="0.25">
      <c r="A267" s="1" t="s">
        <v>902</v>
      </c>
      <c r="B267" s="2" t="s">
        <v>903</v>
      </c>
      <c r="C267" s="258" t="s">
        <v>904</v>
      </c>
      <c r="D267" s="259"/>
      <c r="E267" s="2" t="s">
        <v>251</v>
      </c>
      <c r="F267" s="37">
        <v>25.8675</v>
      </c>
      <c r="G267" s="66">
        <v>0</v>
      </c>
      <c r="H267" s="37">
        <f>F267*AO267</f>
        <v>0</v>
      </c>
      <c r="I267" s="37">
        <f>F267*AP267</f>
        <v>0</v>
      </c>
      <c r="J267" s="37">
        <f>F267*G267</f>
        <v>0</v>
      </c>
      <c r="K267" s="67" t="s">
        <v>217</v>
      </c>
      <c r="Z267" s="37">
        <f>IF(AQ267="5",BJ267,0)</f>
        <v>0</v>
      </c>
      <c r="AB267" s="37">
        <f>IF(AQ267="1",BH267,0)</f>
        <v>0</v>
      </c>
      <c r="AC267" s="37">
        <f>IF(AQ267="1",BI267,0)</f>
        <v>0</v>
      </c>
      <c r="AD267" s="37">
        <f>IF(AQ267="7",BH267,0)</f>
        <v>0</v>
      </c>
      <c r="AE267" s="37">
        <f>IF(AQ267="7",BI267,0)</f>
        <v>0</v>
      </c>
      <c r="AF267" s="37">
        <f>IF(AQ267="2",BH267,0)</f>
        <v>0</v>
      </c>
      <c r="AG267" s="37">
        <f>IF(AQ267="2",BI267,0)</f>
        <v>0</v>
      </c>
      <c r="AH267" s="37">
        <f>IF(AQ267="0",BJ267,0)</f>
        <v>0</v>
      </c>
      <c r="AI267" s="49" t="s">
        <v>89</v>
      </c>
      <c r="AJ267" s="37">
        <f>IF(AN267=0,J267,0)</f>
        <v>0</v>
      </c>
      <c r="AK267" s="37">
        <f>IF(AN267=12,J267,0)</f>
        <v>0</v>
      </c>
      <c r="AL267" s="37">
        <f>IF(AN267=21,J267,0)</f>
        <v>0</v>
      </c>
      <c r="AN267" s="37">
        <v>21</v>
      </c>
      <c r="AO267" s="37">
        <f>G267*0.82130769</f>
        <v>0</v>
      </c>
      <c r="AP267" s="37">
        <f>G267*(1-0.82130769)</f>
        <v>0</v>
      </c>
      <c r="AQ267" s="68" t="s">
        <v>237</v>
      </c>
      <c r="AV267" s="37">
        <f>AW267+AX267</f>
        <v>0</v>
      </c>
      <c r="AW267" s="37">
        <f>F267*AO267</f>
        <v>0</v>
      </c>
      <c r="AX267" s="37">
        <f>F267*AP267</f>
        <v>0</v>
      </c>
      <c r="AY267" s="68" t="s">
        <v>905</v>
      </c>
      <c r="AZ267" s="68" t="s">
        <v>863</v>
      </c>
      <c r="BA267" s="49" t="s">
        <v>220</v>
      </c>
      <c r="BC267" s="37">
        <f>AW267+AX267</f>
        <v>0</v>
      </c>
      <c r="BD267" s="37">
        <f>G267/(100-BE267)*100</f>
        <v>0</v>
      </c>
      <c r="BE267" s="37">
        <v>0</v>
      </c>
      <c r="BF267" s="37">
        <f>267</f>
        <v>267</v>
      </c>
      <c r="BH267" s="37">
        <f>F267*AO267</f>
        <v>0</v>
      </c>
      <c r="BI267" s="37">
        <f>F267*AP267</f>
        <v>0</v>
      </c>
      <c r="BJ267" s="37">
        <f>F267*G267</f>
        <v>0</v>
      </c>
      <c r="BK267" s="37"/>
      <c r="BL267" s="37">
        <v>786</v>
      </c>
      <c r="BW267" s="37">
        <v>21</v>
      </c>
      <c r="BX267" s="3" t="s">
        <v>904</v>
      </c>
    </row>
    <row r="268" spans="1:76" x14ac:dyDescent="0.25">
      <c r="A268" s="1" t="s">
        <v>906</v>
      </c>
      <c r="B268" s="2" t="s">
        <v>907</v>
      </c>
      <c r="C268" s="258" t="s">
        <v>908</v>
      </c>
      <c r="D268" s="259"/>
      <c r="E268" s="2" t="s">
        <v>63</v>
      </c>
      <c r="F268" s="37">
        <v>263.07249999999999</v>
      </c>
      <c r="G268" s="66">
        <v>0</v>
      </c>
      <c r="H268" s="37">
        <f>F268*AO268</f>
        <v>0</v>
      </c>
      <c r="I268" s="37">
        <f>F268*AP268</f>
        <v>0</v>
      </c>
      <c r="J268" s="37">
        <f>F268*G268</f>
        <v>0</v>
      </c>
      <c r="K268" s="67" t="s">
        <v>217</v>
      </c>
      <c r="Z268" s="37">
        <f>IF(AQ268="5",BJ268,0)</f>
        <v>0</v>
      </c>
      <c r="AB268" s="37">
        <f>IF(AQ268="1",BH268,0)</f>
        <v>0</v>
      </c>
      <c r="AC268" s="37">
        <f>IF(AQ268="1",BI268,0)</f>
        <v>0</v>
      </c>
      <c r="AD268" s="37">
        <f>IF(AQ268="7",BH268,0)</f>
        <v>0</v>
      </c>
      <c r="AE268" s="37">
        <f>IF(AQ268="7",BI268,0)</f>
        <v>0</v>
      </c>
      <c r="AF268" s="37">
        <f>IF(AQ268="2",BH268,0)</f>
        <v>0</v>
      </c>
      <c r="AG268" s="37">
        <f>IF(AQ268="2",BI268,0)</f>
        <v>0</v>
      </c>
      <c r="AH268" s="37">
        <f>IF(AQ268="0",BJ268,0)</f>
        <v>0</v>
      </c>
      <c r="AI268" s="49" t="s">
        <v>89</v>
      </c>
      <c r="AJ268" s="37">
        <f>IF(AN268=0,J268,0)</f>
        <v>0</v>
      </c>
      <c r="AK268" s="37">
        <f>IF(AN268=12,J268,0)</f>
        <v>0</v>
      </c>
      <c r="AL268" s="37">
        <f>IF(AN268=21,J268,0)</f>
        <v>0</v>
      </c>
      <c r="AN268" s="37">
        <v>21</v>
      </c>
      <c r="AO268" s="37">
        <f>G268*0</f>
        <v>0</v>
      </c>
      <c r="AP268" s="37">
        <f>G268*(1-0)</f>
        <v>0</v>
      </c>
      <c r="AQ268" s="68" t="s">
        <v>231</v>
      </c>
      <c r="AV268" s="37">
        <f>AW268+AX268</f>
        <v>0</v>
      </c>
      <c r="AW268" s="37">
        <f>F268*AO268</f>
        <v>0</v>
      </c>
      <c r="AX268" s="37">
        <f>F268*AP268</f>
        <v>0</v>
      </c>
      <c r="AY268" s="68" t="s">
        <v>905</v>
      </c>
      <c r="AZ268" s="68" t="s">
        <v>863</v>
      </c>
      <c r="BA268" s="49" t="s">
        <v>220</v>
      </c>
      <c r="BC268" s="37">
        <f>AW268+AX268</f>
        <v>0</v>
      </c>
      <c r="BD268" s="37">
        <f>G268/(100-BE268)*100</f>
        <v>0</v>
      </c>
      <c r="BE268" s="37">
        <v>0</v>
      </c>
      <c r="BF268" s="37">
        <f>268</f>
        <v>268</v>
      </c>
      <c r="BH268" s="37">
        <f>F268*AO268</f>
        <v>0</v>
      </c>
      <c r="BI268" s="37">
        <f>F268*AP268</f>
        <v>0</v>
      </c>
      <c r="BJ268" s="37">
        <f>F268*G268</f>
        <v>0</v>
      </c>
      <c r="BK268" s="37"/>
      <c r="BL268" s="37">
        <v>786</v>
      </c>
      <c r="BW268" s="37">
        <v>21</v>
      </c>
      <c r="BX268" s="3" t="s">
        <v>908</v>
      </c>
    </row>
    <row r="269" spans="1:76" x14ac:dyDescent="0.25">
      <c r="A269" s="61" t="s">
        <v>4</v>
      </c>
      <c r="B269" s="62" t="s">
        <v>161</v>
      </c>
      <c r="C269" s="343" t="s">
        <v>162</v>
      </c>
      <c r="D269" s="344"/>
      <c r="E269" s="63" t="s">
        <v>81</v>
      </c>
      <c r="F269" s="63" t="s">
        <v>81</v>
      </c>
      <c r="G269" s="64" t="s">
        <v>81</v>
      </c>
      <c r="H269" s="43">
        <f>SUM(H270:H272)</f>
        <v>0</v>
      </c>
      <c r="I269" s="43">
        <f>SUM(I270:I272)</f>
        <v>0</v>
      </c>
      <c r="J269" s="43">
        <f>SUM(J270:J272)</f>
        <v>0</v>
      </c>
      <c r="K269" s="65" t="s">
        <v>4</v>
      </c>
      <c r="AI269" s="49" t="s">
        <v>89</v>
      </c>
      <c r="AS269" s="43">
        <f>SUM(AJ270:AJ272)</f>
        <v>0</v>
      </c>
      <c r="AT269" s="43">
        <f>SUM(AK270:AK272)</f>
        <v>0</v>
      </c>
      <c r="AU269" s="43">
        <f>SUM(AL270:AL272)</f>
        <v>0</v>
      </c>
    </row>
    <row r="270" spans="1:76" x14ac:dyDescent="0.25">
      <c r="A270" s="1" t="s">
        <v>909</v>
      </c>
      <c r="B270" s="2" t="s">
        <v>910</v>
      </c>
      <c r="C270" s="258" t="s">
        <v>911</v>
      </c>
      <c r="D270" s="259"/>
      <c r="E270" s="2" t="s">
        <v>251</v>
      </c>
      <c r="F270" s="37">
        <v>3.04</v>
      </c>
      <c r="G270" s="66">
        <v>0</v>
      </c>
      <c r="H270" s="37">
        <f>F270*AO270</f>
        <v>0</v>
      </c>
      <c r="I270" s="37">
        <f>F270*AP270</f>
        <v>0</v>
      </c>
      <c r="J270" s="37">
        <f>F270*G270</f>
        <v>0</v>
      </c>
      <c r="K270" s="67" t="s">
        <v>217</v>
      </c>
      <c r="Z270" s="37">
        <f>IF(AQ270="5",BJ270,0)</f>
        <v>0</v>
      </c>
      <c r="AB270" s="37">
        <f>IF(AQ270="1",BH270,0)</f>
        <v>0</v>
      </c>
      <c r="AC270" s="37">
        <f>IF(AQ270="1",BI270,0)</f>
        <v>0</v>
      </c>
      <c r="AD270" s="37">
        <f>IF(AQ270="7",BH270,0)</f>
        <v>0</v>
      </c>
      <c r="AE270" s="37">
        <f>IF(AQ270="7",BI270,0)</f>
        <v>0</v>
      </c>
      <c r="AF270" s="37">
        <f>IF(AQ270="2",BH270,0)</f>
        <v>0</v>
      </c>
      <c r="AG270" s="37">
        <f>IF(AQ270="2",BI270,0)</f>
        <v>0</v>
      </c>
      <c r="AH270" s="37">
        <f>IF(AQ270="0",BJ270,0)</f>
        <v>0</v>
      </c>
      <c r="AI270" s="49" t="s">
        <v>89</v>
      </c>
      <c r="AJ270" s="37">
        <f>IF(AN270=0,J270,0)</f>
        <v>0</v>
      </c>
      <c r="AK270" s="37">
        <f>IF(AN270=12,J270,0)</f>
        <v>0</v>
      </c>
      <c r="AL270" s="37">
        <f>IF(AN270=21,J270,0)</f>
        <v>0</v>
      </c>
      <c r="AN270" s="37">
        <v>21</v>
      </c>
      <c r="AO270" s="37">
        <f>G270*0.653682984</f>
        <v>0</v>
      </c>
      <c r="AP270" s="37">
        <f>G270*(1-0.653682984)</f>
        <v>0</v>
      </c>
      <c r="AQ270" s="68" t="s">
        <v>237</v>
      </c>
      <c r="AV270" s="37">
        <f>AW270+AX270</f>
        <v>0</v>
      </c>
      <c r="AW270" s="37">
        <f>F270*AO270</f>
        <v>0</v>
      </c>
      <c r="AX270" s="37">
        <f>F270*AP270</f>
        <v>0</v>
      </c>
      <c r="AY270" s="68" t="s">
        <v>912</v>
      </c>
      <c r="AZ270" s="68" t="s">
        <v>863</v>
      </c>
      <c r="BA270" s="49" t="s">
        <v>220</v>
      </c>
      <c r="BC270" s="37">
        <f>AW270+AX270</f>
        <v>0</v>
      </c>
      <c r="BD270" s="37">
        <f>G270/(100-BE270)*100</f>
        <v>0</v>
      </c>
      <c r="BE270" s="37">
        <v>0</v>
      </c>
      <c r="BF270" s="37">
        <f>270</f>
        <v>270</v>
      </c>
      <c r="BH270" s="37">
        <f>F270*AO270</f>
        <v>0</v>
      </c>
      <c r="BI270" s="37">
        <f>F270*AP270</f>
        <v>0</v>
      </c>
      <c r="BJ270" s="37">
        <f>F270*G270</f>
        <v>0</v>
      </c>
      <c r="BK270" s="37"/>
      <c r="BL270" s="37">
        <v>787</v>
      </c>
      <c r="BW270" s="37">
        <v>21</v>
      </c>
      <c r="BX270" s="3" t="s">
        <v>911</v>
      </c>
    </row>
    <row r="271" spans="1:76" x14ac:dyDescent="0.25">
      <c r="A271" s="1" t="s">
        <v>913</v>
      </c>
      <c r="B271" s="2" t="s">
        <v>914</v>
      </c>
      <c r="C271" s="258" t="s">
        <v>915</v>
      </c>
      <c r="D271" s="259"/>
      <c r="E271" s="2" t="s">
        <v>309</v>
      </c>
      <c r="F271" s="37">
        <v>2</v>
      </c>
      <c r="G271" s="66">
        <v>0</v>
      </c>
      <c r="H271" s="37">
        <f>F271*AO271</f>
        <v>0</v>
      </c>
      <c r="I271" s="37">
        <f>F271*AP271</f>
        <v>0</v>
      </c>
      <c r="J271" s="37">
        <f>F271*G271</f>
        <v>0</v>
      </c>
      <c r="K271" s="67" t="s">
        <v>217</v>
      </c>
      <c r="Z271" s="37">
        <f>IF(AQ271="5",BJ271,0)</f>
        <v>0</v>
      </c>
      <c r="AB271" s="37">
        <f>IF(AQ271="1",BH271,0)</f>
        <v>0</v>
      </c>
      <c r="AC271" s="37">
        <f>IF(AQ271="1",BI271,0)</f>
        <v>0</v>
      </c>
      <c r="AD271" s="37">
        <f>IF(AQ271="7",BH271,0)</f>
        <v>0</v>
      </c>
      <c r="AE271" s="37">
        <f>IF(AQ271="7",BI271,0)</f>
        <v>0</v>
      </c>
      <c r="AF271" s="37">
        <f>IF(AQ271="2",BH271,0)</f>
        <v>0</v>
      </c>
      <c r="AG271" s="37">
        <f>IF(AQ271="2",BI271,0)</f>
        <v>0</v>
      </c>
      <c r="AH271" s="37">
        <f>IF(AQ271="0",BJ271,0)</f>
        <v>0</v>
      </c>
      <c r="AI271" s="49" t="s">
        <v>89</v>
      </c>
      <c r="AJ271" s="37">
        <f>IF(AN271=0,J271,0)</f>
        <v>0</v>
      </c>
      <c r="AK271" s="37">
        <f>IF(AN271=12,J271,0)</f>
        <v>0</v>
      </c>
      <c r="AL271" s="37">
        <f>IF(AN271=21,J271,0)</f>
        <v>0</v>
      </c>
      <c r="AN271" s="37">
        <v>21</v>
      </c>
      <c r="AO271" s="37">
        <f>G271*1</f>
        <v>0</v>
      </c>
      <c r="AP271" s="37">
        <f>G271*(1-1)</f>
        <v>0</v>
      </c>
      <c r="AQ271" s="68" t="s">
        <v>237</v>
      </c>
      <c r="AV271" s="37">
        <f>AW271+AX271</f>
        <v>0</v>
      </c>
      <c r="AW271" s="37">
        <f>F271*AO271</f>
        <v>0</v>
      </c>
      <c r="AX271" s="37">
        <f>F271*AP271</f>
        <v>0</v>
      </c>
      <c r="AY271" s="68" t="s">
        <v>912</v>
      </c>
      <c r="AZ271" s="68" t="s">
        <v>863</v>
      </c>
      <c r="BA271" s="49" t="s">
        <v>220</v>
      </c>
      <c r="BC271" s="37">
        <f>AW271+AX271</f>
        <v>0</v>
      </c>
      <c r="BD271" s="37">
        <f>G271/(100-BE271)*100</f>
        <v>0</v>
      </c>
      <c r="BE271" s="37">
        <v>0</v>
      </c>
      <c r="BF271" s="37">
        <f>271</f>
        <v>271</v>
      </c>
      <c r="BH271" s="37">
        <f>F271*AO271</f>
        <v>0</v>
      </c>
      <c r="BI271" s="37">
        <f>F271*AP271</f>
        <v>0</v>
      </c>
      <c r="BJ271" s="37">
        <f>F271*G271</f>
        <v>0</v>
      </c>
      <c r="BK271" s="37"/>
      <c r="BL271" s="37">
        <v>787</v>
      </c>
      <c r="BW271" s="37">
        <v>21</v>
      </c>
      <c r="BX271" s="3" t="s">
        <v>915</v>
      </c>
    </row>
    <row r="272" spans="1:76" x14ac:dyDescent="0.25">
      <c r="A272" s="1" t="s">
        <v>916</v>
      </c>
      <c r="B272" s="2" t="s">
        <v>917</v>
      </c>
      <c r="C272" s="258" t="s">
        <v>918</v>
      </c>
      <c r="D272" s="259"/>
      <c r="E272" s="2" t="s">
        <v>63</v>
      </c>
      <c r="F272" s="37">
        <v>396.08319999999998</v>
      </c>
      <c r="G272" s="66">
        <v>0</v>
      </c>
      <c r="H272" s="37">
        <f>F272*AO272</f>
        <v>0</v>
      </c>
      <c r="I272" s="37">
        <f>F272*AP272</f>
        <v>0</v>
      </c>
      <c r="J272" s="37">
        <f>F272*G272</f>
        <v>0</v>
      </c>
      <c r="K272" s="67" t="s">
        <v>217</v>
      </c>
      <c r="Z272" s="37">
        <f>IF(AQ272="5",BJ272,0)</f>
        <v>0</v>
      </c>
      <c r="AB272" s="37">
        <f>IF(AQ272="1",BH272,0)</f>
        <v>0</v>
      </c>
      <c r="AC272" s="37">
        <f>IF(AQ272="1",BI272,0)</f>
        <v>0</v>
      </c>
      <c r="AD272" s="37">
        <f>IF(AQ272="7",BH272,0)</f>
        <v>0</v>
      </c>
      <c r="AE272" s="37">
        <f>IF(AQ272="7",BI272,0)</f>
        <v>0</v>
      </c>
      <c r="AF272" s="37">
        <f>IF(AQ272="2",BH272,0)</f>
        <v>0</v>
      </c>
      <c r="AG272" s="37">
        <f>IF(AQ272="2",BI272,0)</f>
        <v>0</v>
      </c>
      <c r="AH272" s="37">
        <f>IF(AQ272="0",BJ272,0)</f>
        <v>0</v>
      </c>
      <c r="AI272" s="49" t="s">
        <v>89</v>
      </c>
      <c r="AJ272" s="37">
        <f>IF(AN272=0,J272,0)</f>
        <v>0</v>
      </c>
      <c r="AK272" s="37">
        <f>IF(AN272=12,J272,0)</f>
        <v>0</v>
      </c>
      <c r="AL272" s="37">
        <f>IF(AN272=21,J272,0)</f>
        <v>0</v>
      </c>
      <c r="AN272" s="37">
        <v>21</v>
      </c>
      <c r="AO272" s="37">
        <f>G272*0</f>
        <v>0</v>
      </c>
      <c r="AP272" s="37">
        <f>G272*(1-0)</f>
        <v>0</v>
      </c>
      <c r="AQ272" s="68" t="s">
        <v>231</v>
      </c>
      <c r="AV272" s="37">
        <f>AW272+AX272</f>
        <v>0</v>
      </c>
      <c r="AW272" s="37">
        <f>F272*AO272</f>
        <v>0</v>
      </c>
      <c r="AX272" s="37">
        <f>F272*AP272</f>
        <v>0</v>
      </c>
      <c r="AY272" s="68" t="s">
        <v>912</v>
      </c>
      <c r="AZ272" s="68" t="s">
        <v>863</v>
      </c>
      <c r="BA272" s="49" t="s">
        <v>220</v>
      </c>
      <c r="BC272" s="37">
        <f>AW272+AX272</f>
        <v>0</v>
      </c>
      <c r="BD272" s="37">
        <f>G272/(100-BE272)*100</f>
        <v>0</v>
      </c>
      <c r="BE272" s="37">
        <v>0</v>
      </c>
      <c r="BF272" s="37">
        <f>272</f>
        <v>272</v>
      </c>
      <c r="BH272" s="37">
        <f>F272*AO272</f>
        <v>0</v>
      </c>
      <c r="BI272" s="37">
        <f>F272*AP272</f>
        <v>0</v>
      </c>
      <c r="BJ272" s="37">
        <f>F272*G272</f>
        <v>0</v>
      </c>
      <c r="BK272" s="37"/>
      <c r="BL272" s="37">
        <v>787</v>
      </c>
      <c r="BW272" s="37">
        <v>21</v>
      </c>
      <c r="BX272" s="3" t="s">
        <v>918</v>
      </c>
    </row>
    <row r="273" spans="1:76" x14ac:dyDescent="0.25">
      <c r="A273" s="61" t="s">
        <v>4</v>
      </c>
      <c r="B273" s="62" t="s">
        <v>163</v>
      </c>
      <c r="C273" s="343" t="s">
        <v>164</v>
      </c>
      <c r="D273" s="344"/>
      <c r="E273" s="63" t="s">
        <v>81</v>
      </c>
      <c r="F273" s="63" t="s">
        <v>81</v>
      </c>
      <c r="G273" s="64" t="s">
        <v>81</v>
      </c>
      <c r="H273" s="43">
        <f>SUM(H274:H274)</f>
        <v>0</v>
      </c>
      <c r="I273" s="43">
        <f>SUM(I274:I274)</f>
        <v>0</v>
      </c>
      <c r="J273" s="43">
        <f>SUM(J274:J274)</f>
        <v>0</v>
      </c>
      <c r="K273" s="65" t="s">
        <v>4</v>
      </c>
      <c r="AI273" s="49" t="s">
        <v>89</v>
      </c>
      <c r="AS273" s="43">
        <f>SUM(AJ274:AJ274)</f>
        <v>0</v>
      </c>
      <c r="AT273" s="43">
        <f>SUM(AK274:AK274)</f>
        <v>0</v>
      </c>
      <c r="AU273" s="43">
        <f>SUM(AL274:AL274)</f>
        <v>0</v>
      </c>
    </row>
    <row r="274" spans="1:76" x14ac:dyDescent="0.25">
      <c r="A274" s="1" t="s">
        <v>919</v>
      </c>
      <c r="B274" s="2" t="s">
        <v>920</v>
      </c>
      <c r="C274" s="258" t="s">
        <v>921</v>
      </c>
      <c r="D274" s="259"/>
      <c r="E274" s="2" t="s">
        <v>922</v>
      </c>
      <c r="F274" s="37">
        <v>0.02</v>
      </c>
      <c r="G274" s="66">
        <v>0</v>
      </c>
      <c r="H274" s="37">
        <f>F274*AO274</f>
        <v>0</v>
      </c>
      <c r="I274" s="37">
        <f>F274*AP274</f>
        <v>0</v>
      </c>
      <c r="J274" s="37">
        <f>F274*G274</f>
        <v>0</v>
      </c>
      <c r="K274" s="67" t="s">
        <v>357</v>
      </c>
      <c r="Z274" s="37">
        <f>IF(AQ274="5",BJ274,0)</f>
        <v>0</v>
      </c>
      <c r="AB274" s="37">
        <f>IF(AQ274="1",BH274,0)</f>
        <v>0</v>
      </c>
      <c r="AC274" s="37">
        <f>IF(AQ274="1",BI274,0)</f>
        <v>0</v>
      </c>
      <c r="AD274" s="37">
        <f>IF(AQ274="7",BH274,0)</f>
        <v>0</v>
      </c>
      <c r="AE274" s="37">
        <f>IF(AQ274="7",BI274,0)</f>
        <v>0</v>
      </c>
      <c r="AF274" s="37">
        <f>IF(AQ274="2",BH274,0)</f>
        <v>0</v>
      </c>
      <c r="AG274" s="37">
        <f>IF(AQ274="2",BI274,0)</f>
        <v>0</v>
      </c>
      <c r="AH274" s="37">
        <f>IF(AQ274="0",BJ274,0)</f>
        <v>0</v>
      </c>
      <c r="AI274" s="49" t="s">
        <v>89</v>
      </c>
      <c r="AJ274" s="37">
        <f>IF(AN274=0,J274,0)</f>
        <v>0</v>
      </c>
      <c r="AK274" s="37">
        <f>IF(AN274=12,J274,0)</f>
        <v>0</v>
      </c>
      <c r="AL274" s="37">
        <f>IF(AN274=21,J274,0)</f>
        <v>0</v>
      </c>
      <c r="AN274" s="37">
        <v>21</v>
      </c>
      <c r="AO274" s="37">
        <f>G274*0.484263129</f>
        <v>0</v>
      </c>
      <c r="AP274" s="37">
        <f>G274*(1-0.484263129)</f>
        <v>0</v>
      </c>
      <c r="AQ274" s="68" t="s">
        <v>213</v>
      </c>
      <c r="AV274" s="37">
        <f>AW274+AX274</f>
        <v>0</v>
      </c>
      <c r="AW274" s="37">
        <f>F274*AO274</f>
        <v>0</v>
      </c>
      <c r="AX274" s="37">
        <f>F274*AP274</f>
        <v>0</v>
      </c>
      <c r="AY274" s="68" t="s">
        <v>923</v>
      </c>
      <c r="AZ274" s="68" t="s">
        <v>924</v>
      </c>
      <c r="BA274" s="49" t="s">
        <v>220</v>
      </c>
      <c r="BC274" s="37">
        <f>AW274+AX274</f>
        <v>0</v>
      </c>
      <c r="BD274" s="37">
        <f>G274/(100-BE274)*100</f>
        <v>0</v>
      </c>
      <c r="BE274" s="37">
        <v>0</v>
      </c>
      <c r="BF274" s="37">
        <f>274</f>
        <v>274</v>
      </c>
      <c r="BH274" s="37">
        <f>F274*AO274</f>
        <v>0</v>
      </c>
      <c r="BI274" s="37">
        <f>F274*AP274</f>
        <v>0</v>
      </c>
      <c r="BJ274" s="37">
        <f>F274*G274</f>
        <v>0</v>
      </c>
      <c r="BK274" s="37"/>
      <c r="BL274" s="37">
        <v>90</v>
      </c>
      <c r="BW274" s="37">
        <v>21</v>
      </c>
      <c r="BX274" s="3" t="s">
        <v>921</v>
      </c>
    </row>
    <row r="275" spans="1:76" x14ac:dyDescent="0.25">
      <c r="A275" s="61" t="s">
        <v>4</v>
      </c>
      <c r="B275" s="62" t="s">
        <v>165</v>
      </c>
      <c r="C275" s="343" t="s">
        <v>166</v>
      </c>
      <c r="D275" s="344"/>
      <c r="E275" s="63" t="s">
        <v>81</v>
      </c>
      <c r="F275" s="63" t="s">
        <v>81</v>
      </c>
      <c r="G275" s="64" t="s">
        <v>81</v>
      </c>
      <c r="H275" s="43">
        <f>SUM(H276:H279)</f>
        <v>0</v>
      </c>
      <c r="I275" s="43">
        <f>SUM(I276:I279)</f>
        <v>0</v>
      </c>
      <c r="J275" s="43">
        <f>SUM(J276:J279)</f>
        <v>0</v>
      </c>
      <c r="K275" s="65" t="s">
        <v>4</v>
      </c>
      <c r="AI275" s="49" t="s">
        <v>89</v>
      </c>
      <c r="AS275" s="43">
        <f>SUM(AJ276:AJ279)</f>
        <v>0</v>
      </c>
      <c r="AT275" s="43">
        <f>SUM(AK276:AK279)</f>
        <v>0</v>
      </c>
      <c r="AU275" s="43">
        <f>SUM(AL276:AL279)</f>
        <v>0</v>
      </c>
    </row>
    <row r="276" spans="1:76" x14ac:dyDescent="0.25">
      <c r="A276" s="1" t="s">
        <v>925</v>
      </c>
      <c r="B276" s="2" t="s">
        <v>926</v>
      </c>
      <c r="C276" s="258" t="s">
        <v>927</v>
      </c>
      <c r="D276" s="259"/>
      <c r="E276" s="2" t="s">
        <v>313</v>
      </c>
      <c r="F276" s="37">
        <v>6.3</v>
      </c>
      <c r="G276" s="66">
        <v>0</v>
      </c>
      <c r="H276" s="37">
        <f>F276*AO276</f>
        <v>0</v>
      </c>
      <c r="I276" s="37">
        <f>F276*AP276</f>
        <v>0</v>
      </c>
      <c r="J276" s="37">
        <f>F276*G276</f>
        <v>0</v>
      </c>
      <c r="K276" s="67" t="s">
        <v>327</v>
      </c>
      <c r="Z276" s="37">
        <f>IF(AQ276="5",BJ276,0)</f>
        <v>0</v>
      </c>
      <c r="AB276" s="37">
        <f>IF(AQ276="1",BH276,0)</f>
        <v>0</v>
      </c>
      <c r="AC276" s="37">
        <f>IF(AQ276="1",BI276,0)</f>
        <v>0</v>
      </c>
      <c r="AD276" s="37">
        <f>IF(AQ276="7",BH276,0)</f>
        <v>0</v>
      </c>
      <c r="AE276" s="37">
        <f>IF(AQ276="7",BI276,0)</f>
        <v>0</v>
      </c>
      <c r="AF276" s="37">
        <f>IF(AQ276="2",BH276,0)</f>
        <v>0</v>
      </c>
      <c r="AG276" s="37">
        <f>IF(AQ276="2",BI276,0)</f>
        <v>0</v>
      </c>
      <c r="AH276" s="37">
        <f>IF(AQ276="0",BJ276,0)</f>
        <v>0</v>
      </c>
      <c r="AI276" s="49" t="s">
        <v>89</v>
      </c>
      <c r="AJ276" s="37">
        <f>IF(AN276=0,J276,0)</f>
        <v>0</v>
      </c>
      <c r="AK276" s="37">
        <f>IF(AN276=12,J276,0)</f>
        <v>0</v>
      </c>
      <c r="AL276" s="37">
        <f>IF(AN276=21,J276,0)</f>
        <v>0</v>
      </c>
      <c r="AN276" s="37">
        <v>21</v>
      </c>
      <c r="AO276" s="37">
        <f>G276*0.854860884</f>
        <v>0</v>
      </c>
      <c r="AP276" s="37">
        <f>G276*(1-0.854860884)</f>
        <v>0</v>
      </c>
      <c r="AQ276" s="68" t="s">
        <v>213</v>
      </c>
      <c r="AV276" s="37">
        <f>AW276+AX276</f>
        <v>0</v>
      </c>
      <c r="AW276" s="37">
        <f>F276*AO276</f>
        <v>0</v>
      </c>
      <c r="AX276" s="37">
        <f>F276*AP276</f>
        <v>0</v>
      </c>
      <c r="AY276" s="68" t="s">
        <v>928</v>
      </c>
      <c r="AZ276" s="68" t="s">
        <v>924</v>
      </c>
      <c r="BA276" s="49" t="s">
        <v>220</v>
      </c>
      <c r="BC276" s="37">
        <f>AW276+AX276</f>
        <v>0</v>
      </c>
      <c r="BD276" s="37">
        <f>G276/(100-BE276)*100</f>
        <v>0</v>
      </c>
      <c r="BE276" s="37">
        <v>0</v>
      </c>
      <c r="BF276" s="37">
        <f>276</f>
        <v>276</v>
      </c>
      <c r="BH276" s="37">
        <f>F276*AO276</f>
        <v>0</v>
      </c>
      <c r="BI276" s="37">
        <f>F276*AP276</f>
        <v>0</v>
      </c>
      <c r="BJ276" s="37">
        <f>F276*G276</f>
        <v>0</v>
      </c>
      <c r="BK276" s="37"/>
      <c r="BL276" s="37">
        <v>91</v>
      </c>
      <c r="BW276" s="37">
        <v>21</v>
      </c>
      <c r="BX276" s="3" t="s">
        <v>927</v>
      </c>
    </row>
    <row r="277" spans="1:76" ht="25.5" x14ac:dyDescent="0.25">
      <c r="A277" s="1" t="s">
        <v>929</v>
      </c>
      <c r="B277" s="2" t="s">
        <v>930</v>
      </c>
      <c r="C277" s="258" t="s">
        <v>931</v>
      </c>
      <c r="D277" s="259"/>
      <c r="E277" s="2" t="s">
        <v>313</v>
      </c>
      <c r="F277" s="37">
        <v>16.100000000000001</v>
      </c>
      <c r="G277" s="66">
        <v>0</v>
      </c>
      <c r="H277" s="37">
        <f>F277*AO277</f>
        <v>0</v>
      </c>
      <c r="I277" s="37">
        <f>F277*AP277</f>
        <v>0</v>
      </c>
      <c r="J277" s="37">
        <f>F277*G277</f>
        <v>0</v>
      </c>
      <c r="K277" s="67" t="s">
        <v>217</v>
      </c>
      <c r="Z277" s="37">
        <f>IF(AQ277="5",BJ277,0)</f>
        <v>0</v>
      </c>
      <c r="AB277" s="37">
        <f>IF(AQ277="1",BH277,0)</f>
        <v>0</v>
      </c>
      <c r="AC277" s="37">
        <f>IF(AQ277="1",BI277,0)</f>
        <v>0</v>
      </c>
      <c r="AD277" s="37">
        <f>IF(AQ277="7",BH277,0)</f>
        <v>0</v>
      </c>
      <c r="AE277" s="37">
        <f>IF(AQ277="7",BI277,0)</f>
        <v>0</v>
      </c>
      <c r="AF277" s="37">
        <f>IF(AQ277="2",BH277,0)</f>
        <v>0</v>
      </c>
      <c r="AG277" s="37">
        <f>IF(AQ277="2",BI277,0)</f>
        <v>0</v>
      </c>
      <c r="AH277" s="37">
        <f>IF(AQ277="0",BJ277,0)</f>
        <v>0</v>
      </c>
      <c r="AI277" s="49" t="s">
        <v>89</v>
      </c>
      <c r="AJ277" s="37">
        <f>IF(AN277=0,J277,0)</f>
        <v>0</v>
      </c>
      <c r="AK277" s="37">
        <f>IF(AN277=12,J277,0)</f>
        <v>0</v>
      </c>
      <c r="AL277" s="37">
        <f>IF(AN277=21,J277,0)</f>
        <v>0</v>
      </c>
      <c r="AN277" s="37">
        <v>21</v>
      </c>
      <c r="AO277" s="37">
        <f>G277*0.735215517</f>
        <v>0</v>
      </c>
      <c r="AP277" s="37">
        <f>G277*(1-0.735215517)</f>
        <v>0</v>
      </c>
      <c r="AQ277" s="68" t="s">
        <v>213</v>
      </c>
      <c r="AV277" s="37">
        <f>AW277+AX277</f>
        <v>0</v>
      </c>
      <c r="AW277" s="37">
        <f>F277*AO277</f>
        <v>0</v>
      </c>
      <c r="AX277" s="37">
        <f>F277*AP277</f>
        <v>0</v>
      </c>
      <c r="AY277" s="68" t="s">
        <v>928</v>
      </c>
      <c r="AZ277" s="68" t="s">
        <v>924</v>
      </c>
      <c r="BA277" s="49" t="s">
        <v>220</v>
      </c>
      <c r="BC277" s="37">
        <f>AW277+AX277</f>
        <v>0</v>
      </c>
      <c r="BD277" s="37">
        <f>G277/(100-BE277)*100</f>
        <v>0</v>
      </c>
      <c r="BE277" s="37">
        <v>0</v>
      </c>
      <c r="BF277" s="37">
        <f>277</f>
        <v>277</v>
      </c>
      <c r="BH277" s="37">
        <f>F277*AO277</f>
        <v>0</v>
      </c>
      <c r="BI277" s="37">
        <f>F277*AP277</f>
        <v>0</v>
      </c>
      <c r="BJ277" s="37">
        <f>F277*G277</f>
        <v>0</v>
      </c>
      <c r="BK277" s="37"/>
      <c r="BL277" s="37">
        <v>91</v>
      </c>
      <c r="BW277" s="37">
        <v>21</v>
      </c>
      <c r="BX277" s="3" t="s">
        <v>931</v>
      </c>
    </row>
    <row r="278" spans="1:76" ht="25.5" x14ac:dyDescent="0.25">
      <c r="A278" s="1" t="s">
        <v>932</v>
      </c>
      <c r="B278" s="2" t="s">
        <v>933</v>
      </c>
      <c r="C278" s="258" t="s">
        <v>934</v>
      </c>
      <c r="D278" s="259"/>
      <c r="E278" s="2" t="s">
        <v>313</v>
      </c>
      <c r="F278" s="37">
        <v>19.5</v>
      </c>
      <c r="G278" s="66">
        <v>0</v>
      </c>
      <c r="H278" s="37">
        <f>F278*AO278</f>
        <v>0</v>
      </c>
      <c r="I278" s="37">
        <f>F278*AP278</f>
        <v>0</v>
      </c>
      <c r="J278" s="37">
        <f>F278*G278</f>
        <v>0</v>
      </c>
      <c r="K278" s="67" t="s">
        <v>217</v>
      </c>
      <c r="Z278" s="37">
        <f>IF(AQ278="5",BJ278,0)</f>
        <v>0</v>
      </c>
      <c r="AB278" s="37">
        <f>IF(AQ278="1",BH278,0)</f>
        <v>0</v>
      </c>
      <c r="AC278" s="37">
        <f>IF(AQ278="1",BI278,0)</f>
        <v>0</v>
      </c>
      <c r="AD278" s="37">
        <f>IF(AQ278="7",BH278,0)</f>
        <v>0</v>
      </c>
      <c r="AE278" s="37">
        <f>IF(AQ278="7",BI278,0)</f>
        <v>0</v>
      </c>
      <c r="AF278" s="37">
        <f>IF(AQ278="2",BH278,0)</f>
        <v>0</v>
      </c>
      <c r="AG278" s="37">
        <f>IF(AQ278="2",BI278,0)</f>
        <v>0</v>
      </c>
      <c r="AH278" s="37">
        <f>IF(AQ278="0",BJ278,0)</f>
        <v>0</v>
      </c>
      <c r="AI278" s="49" t="s">
        <v>89</v>
      </c>
      <c r="AJ278" s="37">
        <f>IF(AN278=0,J278,0)</f>
        <v>0</v>
      </c>
      <c r="AK278" s="37">
        <f>IF(AN278=12,J278,0)</f>
        <v>0</v>
      </c>
      <c r="AL278" s="37">
        <f>IF(AN278=21,J278,0)</f>
        <v>0</v>
      </c>
      <c r="AN278" s="37">
        <v>21</v>
      </c>
      <c r="AO278" s="37">
        <f>G278*0.775795796</f>
        <v>0</v>
      </c>
      <c r="AP278" s="37">
        <f>G278*(1-0.775795796)</f>
        <v>0</v>
      </c>
      <c r="AQ278" s="68" t="s">
        <v>213</v>
      </c>
      <c r="AV278" s="37">
        <f>AW278+AX278</f>
        <v>0</v>
      </c>
      <c r="AW278" s="37">
        <f>F278*AO278</f>
        <v>0</v>
      </c>
      <c r="AX278" s="37">
        <f>F278*AP278</f>
        <v>0</v>
      </c>
      <c r="AY278" s="68" t="s">
        <v>928</v>
      </c>
      <c r="AZ278" s="68" t="s">
        <v>924</v>
      </c>
      <c r="BA278" s="49" t="s">
        <v>220</v>
      </c>
      <c r="BC278" s="37">
        <f>AW278+AX278</f>
        <v>0</v>
      </c>
      <c r="BD278" s="37">
        <f>G278/(100-BE278)*100</f>
        <v>0</v>
      </c>
      <c r="BE278" s="37">
        <v>0</v>
      </c>
      <c r="BF278" s="37">
        <f>278</f>
        <v>278</v>
      </c>
      <c r="BH278" s="37">
        <f>F278*AO278</f>
        <v>0</v>
      </c>
      <c r="BI278" s="37">
        <f>F278*AP278</f>
        <v>0</v>
      </c>
      <c r="BJ278" s="37">
        <f>F278*G278</f>
        <v>0</v>
      </c>
      <c r="BK278" s="37"/>
      <c r="BL278" s="37">
        <v>91</v>
      </c>
      <c r="BW278" s="37">
        <v>21</v>
      </c>
      <c r="BX278" s="3" t="s">
        <v>934</v>
      </c>
    </row>
    <row r="279" spans="1:76" x14ac:dyDescent="0.25">
      <c r="A279" s="1" t="s">
        <v>935</v>
      </c>
      <c r="B279" s="2" t="s">
        <v>936</v>
      </c>
      <c r="C279" s="258" t="s">
        <v>937</v>
      </c>
      <c r="D279" s="259"/>
      <c r="E279" s="2" t="s">
        <v>313</v>
      </c>
      <c r="F279" s="37">
        <v>16.100000000000001</v>
      </c>
      <c r="G279" s="66">
        <v>0</v>
      </c>
      <c r="H279" s="37">
        <f>F279*AO279</f>
        <v>0</v>
      </c>
      <c r="I279" s="37">
        <f>F279*AP279</f>
        <v>0</v>
      </c>
      <c r="J279" s="37">
        <f>F279*G279</f>
        <v>0</v>
      </c>
      <c r="K279" s="67" t="s">
        <v>217</v>
      </c>
      <c r="Z279" s="37">
        <f>IF(AQ279="5",BJ279,0)</f>
        <v>0</v>
      </c>
      <c r="AB279" s="37">
        <f>IF(AQ279="1",BH279,0)</f>
        <v>0</v>
      </c>
      <c r="AC279" s="37">
        <f>IF(AQ279="1",BI279,0)</f>
        <v>0</v>
      </c>
      <c r="AD279" s="37">
        <f>IF(AQ279="7",BH279,0)</f>
        <v>0</v>
      </c>
      <c r="AE279" s="37">
        <f>IF(AQ279="7",BI279,0)</f>
        <v>0</v>
      </c>
      <c r="AF279" s="37">
        <f>IF(AQ279="2",BH279,0)</f>
        <v>0</v>
      </c>
      <c r="AG279" s="37">
        <f>IF(AQ279="2",BI279,0)</f>
        <v>0</v>
      </c>
      <c r="AH279" s="37">
        <f>IF(AQ279="0",BJ279,0)</f>
        <v>0</v>
      </c>
      <c r="AI279" s="49" t="s">
        <v>89</v>
      </c>
      <c r="AJ279" s="37">
        <f>IF(AN279=0,J279,0)</f>
        <v>0</v>
      </c>
      <c r="AK279" s="37">
        <f>IF(AN279=12,J279,0)</f>
        <v>0</v>
      </c>
      <c r="AL279" s="37">
        <f>IF(AN279=21,J279,0)</f>
        <v>0</v>
      </c>
      <c r="AN279" s="37">
        <v>21</v>
      </c>
      <c r="AO279" s="37">
        <f>G279*0.556968275</f>
        <v>0</v>
      </c>
      <c r="AP279" s="37">
        <f>G279*(1-0.556968275)</f>
        <v>0</v>
      </c>
      <c r="AQ279" s="68" t="s">
        <v>213</v>
      </c>
      <c r="AV279" s="37">
        <f>AW279+AX279</f>
        <v>0</v>
      </c>
      <c r="AW279" s="37">
        <f>F279*AO279</f>
        <v>0</v>
      </c>
      <c r="AX279" s="37">
        <f>F279*AP279</f>
        <v>0</v>
      </c>
      <c r="AY279" s="68" t="s">
        <v>928</v>
      </c>
      <c r="AZ279" s="68" t="s">
        <v>924</v>
      </c>
      <c r="BA279" s="49" t="s">
        <v>220</v>
      </c>
      <c r="BC279" s="37">
        <f>AW279+AX279</f>
        <v>0</v>
      </c>
      <c r="BD279" s="37">
        <f>G279/(100-BE279)*100</f>
        <v>0</v>
      </c>
      <c r="BE279" s="37">
        <v>0</v>
      </c>
      <c r="BF279" s="37">
        <f>279</f>
        <v>279</v>
      </c>
      <c r="BH279" s="37">
        <f>F279*AO279</f>
        <v>0</v>
      </c>
      <c r="BI279" s="37">
        <f>F279*AP279</f>
        <v>0</v>
      </c>
      <c r="BJ279" s="37">
        <f>F279*G279</f>
        <v>0</v>
      </c>
      <c r="BK279" s="37"/>
      <c r="BL279" s="37">
        <v>91</v>
      </c>
      <c r="BW279" s="37">
        <v>21</v>
      </c>
      <c r="BX279" s="3" t="s">
        <v>937</v>
      </c>
    </row>
    <row r="280" spans="1:76" x14ac:dyDescent="0.25">
      <c r="A280" s="61" t="s">
        <v>4</v>
      </c>
      <c r="B280" s="62" t="s">
        <v>167</v>
      </c>
      <c r="C280" s="343" t="s">
        <v>168</v>
      </c>
      <c r="D280" s="344"/>
      <c r="E280" s="63" t="s">
        <v>81</v>
      </c>
      <c r="F280" s="63" t="s">
        <v>81</v>
      </c>
      <c r="G280" s="64" t="s">
        <v>81</v>
      </c>
      <c r="H280" s="43">
        <f>SUM(H281:H284)</f>
        <v>0</v>
      </c>
      <c r="I280" s="43">
        <f>SUM(I281:I284)</f>
        <v>0</v>
      </c>
      <c r="J280" s="43">
        <f>SUM(J281:J284)</f>
        <v>0</v>
      </c>
      <c r="K280" s="65" t="s">
        <v>4</v>
      </c>
      <c r="AI280" s="49" t="s">
        <v>89</v>
      </c>
      <c r="AS280" s="43">
        <f>SUM(AJ281:AJ284)</f>
        <v>0</v>
      </c>
      <c r="AT280" s="43">
        <f>SUM(AK281:AK284)</f>
        <v>0</v>
      </c>
      <c r="AU280" s="43">
        <f>SUM(AL281:AL284)</f>
        <v>0</v>
      </c>
    </row>
    <row r="281" spans="1:76" x14ac:dyDescent="0.25">
      <c r="A281" s="1" t="s">
        <v>938</v>
      </c>
      <c r="B281" s="2" t="s">
        <v>939</v>
      </c>
      <c r="C281" s="258" t="s">
        <v>940</v>
      </c>
      <c r="D281" s="259"/>
      <c r="E281" s="2" t="s">
        <v>251</v>
      </c>
      <c r="F281" s="37">
        <v>283.92930000000001</v>
      </c>
      <c r="G281" s="66">
        <v>0</v>
      </c>
      <c r="H281" s="37">
        <f>F281*AO281</f>
        <v>0</v>
      </c>
      <c r="I281" s="37">
        <f>F281*AP281</f>
        <v>0</v>
      </c>
      <c r="J281" s="37">
        <f>F281*G281</f>
        <v>0</v>
      </c>
      <c r="K281" s="67" t="s">
        <v>217</v>
      </c>
      <c r="Z281" s="37">
        <f>IF(AQ281="5",BJ281,0)</f>
        <v>0</v>
      </c>
      <c r="AB281" s="37">
        <f>IF(AQ281="1",BH281,0)</f>
        <v>0</v>
      </c>
      <c r="AC281" s="37">
        <f>IF(AQ281="1",BI281,0)</f>
        <v>0</v>
      </c>
      <c r="AD281" s="37">
        <f>IF(AQ281="7",BH281,0)</f>
        <v>0</v>
      </c>
      <c r="AE281" s="37">
        <f>IF(AQ281="7",BI281,0)</f>
        <v>0</v>
      </c>
      <c r="AF281" s="37">
        <f>IF(AQ281="2",BH281,0)</f>
        <v>0</v>
      </c>
      <c r="AG281" s="37">
        <f>IF(AQ281="2",BI281,0)</f>
        <v>0</v>
      </c>
      <c r="AH281" s="37">
        <f>IF(AQ281="0",BJ281,0)</f>
        <v>0</v>
      </c>
      <c r="AI281" s="49" t="s">
        <v>89</v>
      </c>
      <c r="AJ281" s="37">
        <f>IF(AN281=0,J281,0)</f>
        <v>0</v>
      </c>
      <c r="AK281" s="37">
        <f>IF(AN281=12,J281,0)</f>
        <v>0</v>
      </c>
      <c r="AL281" s="37">
        <f>IF(AN281=21,J281,0)</f>
        <v>0</v>
      </c>
      <c r="AN281" s="37">
        <v>21</v>
      </c>
      <c r="AO281" s="37">
        <f>G281*0.000392157</f>
        <v>0</v>
      </c>
      <c r="AP281" s="37">
        <f>G281*(1-0.000392157)</f>
        <v>0</v>
      </c>
      <c r="AQ281" s="68" t="s">
        <v>213</v>
      </c>
      <c r="AV281" s="37">
        <f>AW281+AX281</f>
        <v>0</v>
      </c>
      <c r="AW281" s="37">
        <f>F281*AO281</f>
        <v>0</v>
      </c>
      <c r="AX281" s="37">
        <f>F281*AP281</f>
        <v>0</v>
      </c>
      <c r="AY281" s="68" t="s">
        <v>941</v>
      </c>
      <c r="AZ281" s="68" t="s">
        <v>924</v>
      </c>
      <c r="BA281" s="49" t="s">
        <v>220</v>
      </c>
      <c r="BC281" s="37">
        <f>AW281+AX281</f>
        <v>0</v>
      </c>
      <c r="BD281" s="37">
        <f>G281/(100-BE281)*100</f>
        <v>0</v>
      </c>
      <c r="BE281" s="37">
        <v>0</v>
      </c>
      <c r="BF281" s="37">
        <f>281</f>
        <v>281</v>
      </c>
      <c r="BH281" s="37">
        <f>F281*AO281</f>
        <v>0</v>
      </c>
      <c r="BI281" s="37">
        <f>F281*AP281</f>
        <v>0</v>
      </c>
      <c r="BJ281" s="37">
        <f>F281*G281</f>
        <v>0</v>
      </c>
      <c r="BK281" s="37"/>
      <c r="BL281" s="37">
        <v>94</v>
      </c>
      <c r="BW281" s="37">
        <v>21</v>
      </c>
      <c r="BX281" s="3" t="s">
        <v>940</v>
      </c>
    </row>
    <row r="282" spans="1:76" x14ac:dyDescent="0.25">
      <c r="A282" s="1" t="s">
        <v>942</v>
      </c>
      <c r="B282" s="2" t="s">
        <v>943</v>
      </c>
      <c r="C282" s="258" t="s">
        <v>944</v>
      </c>
      <c r="D282" s="259"/>
      <c r="E282" s="2" t="s">
        <v>251</v>
      </c>
      <c r="F282" s="37">
        <v>567.85860000000002</v>
      </c>
      <c r="G282" s="66">
        <v>0</v>
      </c>
      <c r="H282" s="37">
        <f>F282*AO282</f>
        <v>0</v>
      </c>
      <c r="I282" s="37">
        <f>F282*AP282</f>
        <v>0</v>
      </c>
      <c r="J282" s="37">
        <f>F282*G282</f>
        <v>0</v>
      </c>
      <c r="K282" s="67" t="s">
        <v>217</v>
      </c>
      <c r="Z282" s="37">
        <f>IF(AQ282="5",BJ282,0)</f>
        <v>0</v>
      </c>
      <c r="AB282" s="37">
        <f>IF(AQ282="1",BH282,0)</f>
        <v>0</v>
      </c>
      <c r="AC282" s="37">
        <f>IF(AQ282="1",BI282,0)</f>
        <v>0</v>
      </c>
      <c r="AD282" s="37">
        <f>IF(AQ282="7",BH282,0)</f>
        <v>0</v>
      </c>
      <c r="AE282" s="37">
        <f>IF(AQ282="7",BI282,0)</f>
        <v>0</v>
      </c>
      <c r="AF282" s="37">
        <f>IF(AQ282="2",BH282,0)</f>
        <v>0</v>
      </c>
      <c r="AG282" s="37">
        <f>IF(AQ282="2",BI282,0)</f>
        <v>0</v>
      </c>
      <c r="AH282" s="37">
        <f>IF(AQ282="0",BJ282,0)</f>
        <v>0</v>
      </c>
      <c r="AI282" s="49" t="s">
        <v>89</v>
      </c>
      <c r="AJ282" s="37">
        <f>IF(AN282=0,J282,0)</f>
        <v>0</v>
      </c>
      <c r="AK282" s="37">
        <f>IF(AN282=12,J282,0)</f>
        <v>0</v>
      </c>
      <c r="AL282" s="37">
        <f>IF(AN282=21,J282,0)</f>
        <v>0</v>
      </c>
      <c r="AN282" s="37">
        <v>21</v>
      </c>
      <c r="AO282" s="37">
        <f>G282*0.947758586</f>
        <v>0</v>
      </c>
      <c r="AP282" s="37">
        <f>G282*(1-0.947758586)</f>
        <v>0</v>
      </c>
      <c r="AQ282" s="68" t="s">
        <v>213</v>
      </c>
      <c r="AV282" s="37">
        <f>AW282+AX282</f>
        <v>0</v>
      </c>
      <c r="AW282" s="37">
        <f>F282*AO282</f>
        <v>0</v>
      </c>
      <c r="AX282" s="37">
        <f>F282*AP282</f>
        <v>0</v>
      </c>
      <c r="AY282" s="68" t="s">
        <v>941</v>
      </c>
      <c r="AZ282" s="68" t="s">
        <v>924</v>
      </c>
      <c r="BA282" s="49" t="s">
        <v>220</v>
      </c>
      <c r="BC282" s="37">
        <f>AW282+AX282</f>
        <v>0</v>
      </c>
      <c r="BD282" s="37">
        <f>G282/(100-BE282)*100</f>
        <v>0</v>
      </c>
      <c r="BE282" s="37">
        <v>0</v>
      </c>
      <c r="BF282" s="37">
        <f>282</f>
        <v>282</v>
      </c>
      <c r="BH282" s="37">
        <f>F282*AO282</f>
        <v>0</v>
      </c>
      <c r="BI282" s="37">
        <f>F282*AP282</f>
        <v>0</v>
      </c>
      <c r="BJ282" s="37">
        <f>F282*G282</f>
        <v>0</v>
      </c>
      <c r="BK282" s="37"/>
      <c r="BL282" s="37">
        <v>94</v>
      </c>
      <c r="BW282" s="37">
        <v>21</v>
      </c>
      <c r="BX282" s="3" t="s">
        <v>944</v>
      </c>
    </row>
    <row r="283" spans="1:76" x14ac:dyDescent="0.25">
      <c r="A283" s="1" t="s">
        <v>945</v>
      </c>
      <c r="B283" s="2" t="s">
        <v>946</v>
      </c>
      <c r="C283" s="258" t="s">
        <v>947</v>
      </c>
      <c r="D283" s="259"/>
      <c r="E283" s="2" t="s">
        <v>251</v>
      </c>
      <c r="F283" s="37">
        <v>283.92930000000001</v>
      </c>
      <c r="G283" s="66">
        <v>0</v>
      </c>
      <c r="H283" s="37">
        <f>F283*AO283</f>
        <v>0</v>
      </c>
      <c r="I283" s="37">
        <f>F283*AP283</f>
        <v>0</v>
      </c>
      <c r="J283" s="37">
        <f>F283*G283</f>
        <v>0</v>
      </c>
      <c r="K283" s="67" t="s">
        <v>217</v>
      </c>
      <c r="Z283" s="37">
        <f>IF(AQ283="5",BJ283,0)</f>
        <v>0</v>
      </c>
      <c r="AB283" s="37">
        <f>IF(AQ283="1",BH283,0)</f>
        <v>0</v>
      </c>
      <c r="AC283" s="37">
        <f>IF(AQ283="1",BI283,0)</f>
        <v>0</v>
      </c>
      <c r="AD283" s="37">
        <f>IF(AQ283="7",BH283,0)</f>
        <v>0</v>
      </c>
      <c r="AE283" s="37">
        <f>IF(AQ283="7",BI283,0)</f>
        <v>0</v>
      </c>
      <c r="AF283" s="37">
        <f>IF(AQ283="2",BH283,0)</f>
        <v>0</v>
      </c>
      <c r="AG283" s="37">
        <f>IF(AQ283="2",BI283,0)</f>
        <v>0</v>
      </c>
      <c r="AH283" s="37">
        <f>IF(AQ283="0",BJ283,0)</f>
        <v>0</v>
      </c>
      <c r="AI283" s="49" t="s">
        <v>89</v>
      </c>
      <c r="AJ283" s="37">
        <f>IF(AN283=0,J283,0)</f>
        <v>0</v>
      </c>
      <c r="AK283" s="37">
        <f>IF(AN283=12,J283,0)</f>
        <v>0</v>
      </c>
      <c r="AL283" s="37">
        <f>IF(AN283=21,J283,0)</f>
        <v>0</v>
      </c>
      <c r="AN283" s="37">
        <v>21</v>
      </c>
      <c r="AO283" s="37">
        <f>G283*0</f>
        <v>0</v>
      </c>
      <c r="AP283" s="37">
        <f>G283*(1-0)</f>
        <v>0</v>
      </c>
      <c r="AQ283" s="68" t="s">
        <v>213</v>
      </c>
      <c r="AV283" s="37">
        <f>AW283+AX283</f>
        <v>0</v>
      </c>
      <c r="AW283" s="37">
        <f>F283*AO283</f>
        <v>0</v>
      </c>
      <c r="AX283" s="37">
        <f>F283*AP283</f>
        <v>0</v>
      </c>
      <c r="AY283" s="68" t="s">
        <v>941</v>
      </c>
      <c r="AZ283" s="68" t="s">
        <v>924</v>
      </c>
      <c r="BA283" s="49" t="s">
        <v>220</v>
      </c>
      <c r="BC283" s="37">
        <f>AW283+AX283</f>
        <v>0</v>
      </c>
      <c r="BD283" s="37">
        <f>G283/(100-BE283)*100</f>
        <v>0</v>
      </c>
      <c r="BE283" s="37">
        <v>0</v>
      </c>
      <c r="BF283" s="37">
        <f>283</f>
        <v>283</v>
      </c>
      <c r="BH283" s="37">
        <f>F283*AO283</f>
        <v>0</v>
      </c>
      <c r="BI283" s="37">
        <f>F283*AP283</f>
        <v>0</v>
      </c>
      <c r="BJ283" s="37">
        <f>F283*G283</f>
        <v>0</v>
      </c>
      <c r="BK283" s="37"/>
      <c r="BL283" s="37">
        <v>94</v>
      </c>
      <c r="BW283" s="37">
        <v>21</v>
      </c>
      <c r="BX283" s="3" t="s">
        <v>947</v>
      </c>
    </row>
    <row r="284" spans="1:76" x14ac:dyDescent="0.25">
      <c r="A284" s="1" t="s">
        <v>948</v>
      </c>
      <c r="B284" s="2" t="s">
        <v>949</v>
      </c>
      <c r="C284" s="258" t="s">
        <v>950</v>
      </c>
      <c r="D284" s="259"/>
      <c r="E284" s="2" t="s">
        <v>951</v>
      </c>
      <c r="F284" s="37">
        <v>60</v>
      </c>
      <c r="G284" s="66">
        <v>0</v>
      </c>
      <c r="H284" s="37">
        <f>F284*AO284</f>
        <v>0</v>
      </c>
      <c r="I284" s="37">
        <f>F284*AP284</f>
        <v>0</v>
      </c>
      <c r="J284" s="37">
        <f>F284*G284</f>
        <v>0</v>
      </c>
      <c r="K284" s="67" t="s">
        <v>217</v>
      </c>
      <c r="Z284" s="37">
        <f>IF(AQ284="5",BJ284,0)</f>
        <v>0</v>
      </c>
      <c r="AB284" s="37">
        <f>IF(AQ284="1",BH284,0)</f>
        <v>0</v>
      </c>
      <c r="AC284" s="37">
        <f>IF(AQ284="1",BI284,0)</f>
        <v>0</v>
      </c>
      <c r="AD284" s="37">
        <f>IF(AQ284="7",BH284,0)</f>
        <v>0</v>
      </c>
      <c r="AE284" s="37">
        <f>IF(AQ284="7",BI284,0)</f>
        <v>0</v>
      </c>
      <c r="AF284" s="37">
        <f>IF(AQ284="2",BH284,0)</f>
        <v>0</v>
      </c>
      <c r="AG284" s="37">
        <f>IF(AQ284="2",BI284,0)</f>
        <v>0</v>
      </c>
      <c r="AH284" s="37">
        <f>IF(AQ284="0",BJ284,0)</f>
        <v>0</v>
      </c>
      <c r="AI284" s="49" t="s">
        <v>89</v>
      </c>
      <c r="AJ284" s="37">
        <f>IF(AN284=0,J284,0)</f>
        <v>0</v>
      </c>
      <c r="AK284" s="37">
        <f>IF(AN284=12,J284,0)</f>
        <v>0</v>
      </c>
      <c r="AL284" s="37">
        <f>IF(AN284=21,J284,0)</f>
        <v>0</v>
      </c>
      <c r="AN284" s="37">
        <v>21</v>
      </c>
      <c r="AO284" s="37">
        <f>G284*0</f>
        <v>0</v>
      </c>
      <c r="AP284" s="37">
        <f>G284*(1-0)</f>
        <v>0</v>
      </c>
      <c r="AQ284" s="68" t="s">
        <v>213</v>
      </c>
      <c r="AV284" s="37">
        <f>AW284+AX284</f>
        <v>0</v>
      </c>
      <c r="AW284" s="37">
        <f>F284*AO284</f>
        <v>0</v>
      </c>
      <c r="AX284" s="37">
        <f>F284*AP284</f>
        <v>0</v>
      </c>
      <c r="AY284" s="68" t="s">
        <v>941</v>
      </c>
      <c r="AZ284" s="68" t="s">
        <v>924</v>
      </c>
      <c r="BA284" s="49" t="s">
        <v>220</v>
      </c>
      <c r="BC284" s="37">
        <f>AW284+AX284</f>
        <v>0</v>
      </c>
      <c r="BD284" s="37">
        <f>G284/(100-BE284)*100</f>
        <v>0</v>
      </c>
      <c r="BE284" s="37">
        <v>0</v>
      </c>
      <c r="BF284" s="37">
        <f>284</f>
        <v>284</v>
      </c>
      <c r="BH284" s="37">
        <f>F284*AO284</f>
        <v>0</v>
      </c>
      <c r="BI284" s="37">
        <f>F284*AP284</f>
        <v>0</v>
      </c>
      <c r="BJ284" s="37">
        <f>F284*G284</f>
        <v>0</v>
      </c>
      <c r="BK284" s="37"/>
      <c r="BL284" s="37">
        <v>94</v>
      </c>
      <c r="BW284" s="37">
        <v>21</v>
      </c>
      <c r="BX284" s="3" t="s">
        <v>950</v>
      </c>
    </row>
    <row r="285" spans="1:76" x14ac:dyDescent="0.25">
      <c r="A285" s="61" t="s">
        <v>4</v>
      </c>
      <c r="B285" s="62" t="s">
        <v>169</v>
      </c>
      <c r="C285" s="343" t="s">
        <v>170</v>
      </c>
      <c r="D285" s="344"/>
      <c r="E285" s="63" t="s">
        <v>81</v>
      </c>
      <c r="F285" s="63" t="s">
        <v>81</v>
      </c>
      <c r="G285" s="64" t="s">
        <v>81</v>
      </c>
      <c r="H285" s="43">
        <f>SUM(H286:H294)</f>
        <v>0</v>
      </c>
      <c r="I285" s="43">
        <f>SUM(I286:I294)</f>
        <v>0</v>
      </c>
      <c r="J285" s="43">
        <f>SUM(J286:J294)</f>
        <v>0</v>
      </c>
      <c r="K285" s="65" t="s">
        <v>4</v>
      </c>
      <c r="AI285" s="49" t="s">
        <v>89</v>
      </c>
      <c r="AS285" s="43">
        <f>SUM(AJ286:AJ294)</f>
        <v>0</v>
      </c>
      <c r="AT285" s="43">
        <f>SUM(AK286:AK294)</f>
        <v>0</v>
      </c>
      <c r="AU285" s="43">
        <f>SUM(AL286:AL294)</f>
        <v>0</v>
      </c>
    </row>
    <row r="286" spans="1:76" x14ac:dyDescent="0.25">
      <c r="A286" s="1" t="s">
        <v>952</v>
      </c>
      <c r="B286" s="2" t="s">
        <v>953</v>
      </c>
      <c r="C286" s="258" t="s">
        <v>954</v>
      </c>
      <c r="D286" s="259"/>
      <c r="E286" s="2" t="s">
        <v>309</v>
      </c>
      <c r="F286" s="37">
        <v>3</v>
      </c>
      <c r="G286" s="66">
        <v>0</v>
      </c>
      <c r="H286" s="37">
        <f t="shared" ref="H286:H294" si="248">F286*AO286</f>
        <v>0</v>
      </c>
      <c r="I286" s="37">
        <f t="shared" ref="I286:I294" si="249">F286*AP286</f>
        <v>0</v>
      </c>
      <c r="J286" s="37">
        <f t="shared" ref="J286:J294" si="250">F286*G286</f>
        <v>0</v>
      </c>
      <c r="K286" s="67" t="s">
        <v>217</v>
      </c>
      <c r="Z286" s="37">
        <f t="shared" ref="Z286:Z294" si="251">IF(AQ286="5",BJ286,0)</f>
        <v>0</v>
      </c>
      <c r="AB286" s="37">
        <f t="shared" ref="AB286:AB294" si="252">IF(AQ286="1",BH286,0)</f>
        <v>0</v>
      </c>
      <c r="AC286" s="37">
        <f t="shared" ref="AC286:AC294" si="253">IF(AQ286="1",BI286,0)</f>
        <v>0</v>
      </c>
      <c r="AD286" s="37">
        <f t="shared" ref="AD286:AD294" si="254">IF(AQ286="7",BH286,0)</f>
        <v>0</v>
      </c>
      <c r="AE286" s="37">
        <f t="shared" ref="AE286:AE294" si="255">IF(AQ286="7",BI286,0)</f>
        <v>0</v>
      </c>
      <c r="AF286" s="37">
        <f t="shared" ref="AF286:AF294" si="256">IF(AQ286="2",BH286,0)</f>
        <v>0</v>
      </c>
      <c r="AG286" s="37">
        <f t="shared" ref="AG286:AG294" si="257">IF(AQ286="2",BI286,0)</f>
        <v>0</v>
      </c>
      <c r="AH286" s="37">
        <f t="shared" ref="AH286:AH294" si="258">IF(AQ286="0",BJ286,0)</f>
        <v>0</v>
      </c>
      <c r="AI286" s="49" t="s">
        <v>89</v>
      </c>
      <c r="AJ286" s="37">
        <f t="shared" ref="AJ286:AJ294" si="259">IF(AN286=0,J286,0)</f>
        <v>0</v>
      </c>
      <c r="AK286" s="37">
        <f t="shared" ref="AK286:AK294" si="260">IF(AN286=12,J286,0)</f>
        <v>0</v>
      </c>
      <c r="AL286" s="37">
        <f t="shared" ref="AL286:AL294" si="261">IF(AN286=21,J286,0)</f>
        <v>0</v>
      </c>
      <c r="AN286" s="37">
        <v>21</v>
      </c>
      <c r="AO286" s="37">
        <f>G286*0.048396226</f>
        <v>0</v>
      </c>
      <c r="AP286" s="37">
        <f>G286*(1-0.048396226)</f>
        <v>0</v>
      </c>
      <c r="AQ286" s="68" t="s">
        <v>213</v>
      </c>
      <c r="AV286" s="37">
        <f t="shared" ref="AV286:AV294" si="262">AW286+AX286</f>
        <v>0</v>
      </c>
      <c r="AW286" s="37">
        <f t="shared" ref="AW286:AW294" si="263">F286*AO286</f>
        <v>0</v>
      </c>
      <c r="AX286" s="37">
        <f t="shared" ref="AX286:AX294" si="264">F286*AP286</f>
        <v>0</v>
      </c>
      <c r="AY286" s="68" t="s">
        <v>955</v>
      </c>
      <c r="AZ286" s="68" t="s">
        <v>924</v>
      </c>
      <c r="BA286" s="49" t="s">
        <v>220</v>
      </c>
      <c r="BC286" s="37">
        <f t="shared" ref="BC286:BC294" si="265">AW286+AX286</f>
        <v>0</v>
      </c>
      <c r="BD286" s="37">
        <f t="shared" ref="BD286:BD294" si="266">G286/(100-BE286)*100</f>
        <v>0</v>
      </c>
      <c r="BE286" s="37">
        <v>0</v>
      </c>
      <c r="BF286" s="37">
        <f>286</f>
        <v>286</v>
      </c>
      <c r="BH286" s="37">
        <f t="shared" ref="BH286:BH294" si="267">F286*AO286</f>
        <v>0</v>
      </c>
      <c r="BI286" s="37">
        <f t="shared" ref="BI286:BI294" si="268">F286*AP286</f>
        <v>0</v>
      </c>
      <c r="BJ286" s="37">
        <f t="shared" ref="BJ286:BJ294" si="269">F286*G286</f>
        <v>0</v>
      </c>
      <c r="BK286" s="37"/>
      <c r="BL286" s="37">
        <v>95</v>
      </c>
      <c r="BW286" s="37">
        <v>21</v>
      </c>
      <c r="BX286" s="3" t="s">
        <v>954</v>
      </c>
    </row>
    <row r="287" spans="1:76" x14ac:dyDescent="0.25">
      <c r="A287" s="1" t="s">
        <v>956</v>
      </c>
      <c r="B287" s="2" t="s">
        <v>957</v>
      </c>
      <c r="C287" s="258" t="s">
        <v>958</v>
      </c>
      <c r="D287" s="259"/>
      <c r="E287" s="2" t="s">
        <v>313</v>
      </c>
      <c r="F287" s="37">
        <v>0.9</v>
      </c>
      <c r="G287" s="66">
        <v>0</v>
      </c>
      <c r="H287" s="37">
        <f t="shared" si="248"/>
        <v>0</v>
      </c>
      <c r="I287" s="37">
        <f t="shared" si="249"/>
        <v>0</v>
      </c>
      <c r="J287" s="37">
        <f t="shared" si="250"/>
        <v>0</v>
      </c>
      <c r="K287" s="67" t="s">
        <v>217</v>
      </c>
      <c r="Z287" s="37">
        <f t="shared" si="251"/>
        <v>0</v>
      </c>
      <c r="AB287" s="37">
        <f t="shared" si="252"/>
        <v>0</v>
      </c>
      <c r="AC287" s="37">
        <f t="shared" si="253"/>
        <v>0</v>
      </c>
      <c r="AD287" s="37">
        <f t="shared" si="254"/>
        <v>0</v>
      </c>
      <c r="AE287" s="37">
        <f t="shared" si="255"/>
        <v>0</v>
      </c>
      <c r="AF287" s="37">
        <f t="shared" si="256"/>
        <v>0</v>
      </c>
      <c r="AG287" s="37">
        <f t="shared" si="257"/>
        <v>0</v>
      </c>
      <c r="AH287" s="37">
        <f t="shared" si="258"/>
        <v>0</v>
      </c>
      <c r="AI287" s="49" t="s">
        <v>89</v>
      </c>
      <c r="AJ287" s="37">
        <f t="shared" si="259"/>
        <v>0</v>
      </c>
      <c r="AK287" s="37">
        <f t="shared" si="260"/>
        <v>0</v>
      </c>
      <c r="AL287" s="37">
        <f t="shared" si="261"/>
        <v>0</v>
      </c>
      <c r="AN287" s="37">
        <v>21</v>
      </c>
      <c r="AO287" s="37">
        <f>G287*1</f>
        <v>0</v>
      </c>
      <c r="AP287" s="37">
        <f>G287*(1-1)</f>
        <v>0</v>
      </c>
      <c r="AQ287" s="68" t="s">
        <v>213</v>
      </c>
      <c r="AV287" s="37">
        <f t="shared" si="262"/>
        <v>0</v>
      </c>
      <c r="AW287" s="37">
        <f t="shared" si="263"/>
        <v>0</v>
      </c>
      <c r="AX287" s="37">
        <f t="shared" si="264"/>
        <v>0</v>
      </c>
      <c r="AY287" s="68" t="s">
        <v>955</v>
      </c>
      <c r="AZ287" s="68" t="s">
        <v>924</v>
      </c>
      <c r="BA287" s="49" t="s">
        <v>220</v>
      </c>
      <c r="BC287" s="37">
        <f t="shared" si="265"/>
        <v>0</v>
      </c>
      <c r="BD287" s="37">
        <f t="shared" si="266"/>
        <v>0</v>
      </c>
      <c r="BE287" s="37">
        <v>0</v>
      </c>
      <c r="BF287" s="37">
        <f>287</f>
        <v>287</v>
      </c>
      <c r="BH287" s="37">
        <f t="shared" si="267"/>
        <v>0</v>
      </c>
      <c r="BI287" s="37">
        <f t="shared" si="268"/>
        <v>0</v>
      </c>
      <c r="BJ287" s="37">
        <f t="shared" si="269"/>
        <v>0</v>
      </c>
      <c r="BK287" s="37"/>
      <c r="BL287" s="37">
        <v>95</v>
      </c>
      <c r="BW287" s="37">
        <v>21</v>
      </c>
      <c r="BX287" s="3" t="s">
        <v>958</v>
      </c>
    </row>
    <row r="288" spans="1:76" x14ac:dyDescent="0.25">
      <c r="A288" s="1" t="s">
        <v>959</v>
      </c>
      <c r="B288" s="2" t="s">
        <v>960</v>
      </c>
      <c r="C288" s="258" t="s">
        <v>961</v>
      </c>
      <c r="D288" s="259"/>
      <c r="E288" s="2" t="s">
        <v>309</v>
      </c>
      <c r="F288" s="37">
        <v>3</v>
      </c>
      <c r="G288" s="66">
        <v>0</v>
      </c>
      <c r="H288" s="37">
        <f t="shared" si="248"/>
        <v>0</v>
      </c>
      <c r="I288" s="37">
        <f t="shared" si="249"/>
        <v>0</v>
      </c>
      <c r="J288" s="37">
        <f t="shared" si="250"/>
        <v>0</v>
      </c>
      <c r="K288" s="67" t="s">
        <v>217</v>
      </c>
      <c r="Z288" s="37">
        <f t="shared" si="251"/>
        <v>0</v>
      </c>
      <c r="AB288" s="37">
        <f t="shared" si="252"/>
        <v>0</v>
      </c>
      <c r="AC288" s="37">
        <f t="shared" si="253"/>
        <v>0</v>
      </c>
      <c r="AD288" s="37">
        <f t="shared" si="254"/>
        <v>0</v>
      </c>
      <c r="AE288" s="37">
        <f t="shared" si="255"/>
        <v>0</v>
      </c>
      <c r="AF288" s="37">
        <f t="shared" si="256"/>
        <v>0</v>
      </c>
      <c r="AG288" s="37">
        <f t="shared" si="257"/>
        <v>0</v>
      </c>
      <c r="AH288" s="37">
        <f t="shared" si="258"/>
        <v>0</v>
      </c>
      <c r="AI288" s="49" t="s">
        <v>89</v>
      </c>
      <c r="AJ288" s="37">
        <f t="shared" si="259"/>
        <v>0</v>
      </c>
      <c r="AK288" s="37">
        <f t="shared" si="260"/>
        <v>0</v>
      </c>
      <c r="AL288" s="37">
        <f t="shared" si="261"/>
        <v>0</v>
      </c>
      <c r="AN288" s="37">
        <v>21</v>
      </c>
      <c r="AO288" s="37">
        <f>G288*1</f>
        <v>0</v>
      </c>
      <c r="AP288" s="37">
        <f>G288*(1-1)</f>
        <v>0</v>
      </c>
      <c r="AQ288" s="68" t="s">
        <v>213</v>
      </c>
      <c r="AV288" s="37">
        <f t="shared" si="262"/>
        <v>0</v>
      </c>
      <c r="AW288" s="37">
        <f t="shared" si="263"/>
        <v>0</v>
      </c>
      <c r="AX288" s="37">
        <f t="shared" si="264"/>
        <v>0</v>
      </c>
      <c r="AY288" s="68" t="s">
        <v>955</v>
      </c>
      <c r="AZ288" s="68" t="s">
        <v>924</v>
      </c>
      <c r="BA288" s="49" t="s">
        <v>220</v>
      </c>
      <c r="BC288" s="37">
        <f t="shared" si="265"/>
        <v>0</v>
      </c>
      <c r="BD288" s="37">
        <f t="shared" si="266"/>
        <v>0</v>
      </c>
      <c r="BE288" s="37">
        <v>0</v>
      </c>
      <c r="BF288" s="37">
        <f>288</f>
        <v>288</v>
      </c>
      <c r="BH288" s="37">
        <f t="shared" si="267"/>
        <v>0</v>
      </c>
      <c r="BI288" s="37">
        <f t="shared" si="268"/>
        <v>0</v>
      </c>
      <c r="BJ288" s="37">
        <f t="shared" si="269"/>
        <v>0</v>
      </c>
      <c r="BK288" s="37"/>
      <c r="BL288" s="37">
        <v>95</v>
      </c>
      <c r="BW288" s="37">
        <v>21</v>
      </c>
      <c r="BX288" s="3" t="s">
        <v>961</v>
      </c>
    </row>
    <row r="289" spans="1:76" x14ac:dyDescent="0.25">
      <c r="A289" s="1" t="s">
        <v>962</v>
      </c>
      <c r="B289" s="2" t="s">
        <v>963</v>
      </c>
      <c r="C289" s="258" t="s">
        <v>964</v>
      </c>
      <c r="D289" s="259"/>
      <c r="E289" s="2" t="s">
        <v>309</v>
      </c>
      <c r="F289" s="37">
        <v>3</v>
      </c>
      <c r="G289" s="66">
        <v>0</v>
      </c>
      <c r="H289" s="37">
        <f t="shared" si="248"/>
        <v>0</v>
      </c>
      <c r="I289" s="37">
        <f t="shared" si="249"/>
        <v>0</v>
      </c>
      <c r="J289" s="37">
        <f t="shared" si="250"/>
        <v>0</v>
      </c>
      <c r="K289" s="67" t="s">
        <v>217</v>
      </c>
      <c r="Z289" s="37">
        <f t="shared" si="251"/>
        <v>0</v>
      </c>
      <c r="AB289" s="37">
        <f t="shared" si="252"/>
        <v>0</v>
      </c>
      <c r="AC289" s="37">
        <f t="shared" si="253"/>
        <v>0</v>
      </c>
      <c r="AD289" s="37">
        <f t="shared" si="254"/>
        <v>0</v>
      </c>
      <c r="AE289" s="37">
        <f t="shared" si="255"/>
        <v>0</v>
      </c>
      <c r="AF289" s="37">
        <f t="shared" si="256"/>
        <v>0</v>
      </c>
      <c r="AG289" s="37">
        <f t="shared" si="257"/>
        <v>0</v>
      </c>
      <c r="AH289" s="37">
        <f t="shared" si="258"/>
        <v>0</v>
      </c>
      <c r="AI289" s="49" t="s">
        <v>89</v>
      </c>
      <c r="AJ289" s="37">
        <f t="shared" si="259"/>
        <v>0</v>
      </c>
      <c r="AK289" s="37">
        <f t="shared" si="260"/>
        <v>0</v>
      </c>
      <c r="AL289" s="37">
        <f t="shared" si="261"/>
        <v>0</v>
      </c>
      <c r="AN289" s="37">
        <v>21</v>
      </c>
      <c r="AO289" s="37">
        <f>G289*0.09018018</f>
        <v>0</v>
      </c>
      <c r="AP289" s="37">
        <f>G289*(1-0.09018018)</f>
        <v>0</v>
      </c>
      <c r="AQ289" s="68" t="s">
        <v>213</v>
      </c>
      <c r="AV289" s="37">
        <f t="shared" si="262"/>
        <v>0</v>
      </c>
      <c r="AW289" s="37">
        <f t="shared" si="263"/>
        <v>0</v>
      </c>
      <c r="AX289" s="37">
        <f t="shared" si="264"/>
        <v>0</v>
      </c>
      <c r="AY289" s="68" t="s">
        <v>955</v>
      </c>
      <c r="AZ289" s="68" t="s">
        <v>924</v>
      </c>
      <c r="BA289" s="49" t="s">
        <v>220</v>
      </c>
      <c r="BC289" s="37">
        <f t="shared" si="265"/>
        <v>0</v>
      </c>
      <c r="BD289" s="37">
        <f t="shared" si="266"/>
        <v>0</v>
      </c>
      <c r="BE289" s="37">
        <v>0</v>
      </c>
      <c r="BF289" s="37">
        <f>289</f>
        <v>289</v>
      </c>
      <c r="BH289" s="37">
        <f t="shared" si="267"/>
        <v>0</v>
      </c>
      <c r="BI289" s="37">
        <f t="shared" si="268"/>
        <v>0</v>
      </c>
      <c r="BJ289" s="37">
        <f t="shared" si="269"/>
        <v>0</v>
      </c>
      <c r="BK289" s="37"/>
      <c r="BL289" s="37">
        <v>95</v>
      </c>
      <c r="BW289" s="37">
        <v>21</v>
      </c>
      <c r="BX289" s="3" t="s">
        <v>964</v>
      </c>
    </row>
    <row r="290" spans="1:76" x14ac:dyDescent="0.25">
      <c r="A290" s="1" t="s">
        <v>965</v>
      </c>
      <c r="B290" s="2" t="s">
        <v>957</v>
      </c>
      <c r="C290" s="258" t="s">
        <v>966</v>
      </c>
      <c r="D290" s="259"/>
      <c r="E290" s="2" t="s">
        <v>313</v>
      </c>
      <c r="F290" s="37">
        <v>0.9</v>
      </c>
      <c r="G290" s="66">
        <v>0</v>
      </c>
      <c r="H290" s="37">
        <f t="shared" si="248"/>
        <v>0</v>
      </c>
      <c r="I290" s="37">
        <f t="shared" si="249"/>
        <v>0</v>
      </c>
      <c r="J290" s="37">
        <f t="shared" si="250"/>
        <v>0</v>
      </c>
      <c r="K290" s="67" t="s">
        <v>217</v>
      </c>
      <c r="Z290" s="37">
        <f t="shared" si="251"/>
        <v>0</v>
      </c>
      <c r="AB290" s="37">
        <f t="shared" si="252"/>
        <v>0</v>
      </c>
      <c r="AC290" s="37">
        <f t="shared" si="253"/>
        <v>0</v>
      </c>
      <c r="AD290" s="37">
        <f t="shared" si="254"/>
        <v>0</v>
      </c>
      <c r="AE290" s="37">
        <f t="shared" si="255"/>
        <v>0</v>
      </c>
      <c r="AF290" s="37">
        <f t="shared" si="256"/>
        <v>0</v>
      </c>
      <c r="AG290" s="37">
        <f t="shared" si="257"/>
        <v>0</v>
      </c>
      <c r="AH290" s="37">
        <f t="shared" si="258"/>
        <v>0</v>
      </c>
      <c r="AI290" s="49" t="s">
        <v>89</v>
      </c>
      <c r="AJ290" s="37">
        <f t="shared" si="259"/>
        <v>0</v>
      </c>
      <c r="AK290" s="37">
        <f t="shared" si="260"/>
        <v>0</v>
      </c>
      <c r="AL290" s="37">
        <f t="shared" si="261"/>
        <v>0</v>
      </c>
      <c r="AN290" s="37">
        <v>21</v>
      </c>
      <c r="AO290" s="37">
        <f>G290*1</f>
        <v>0</v>
      </c>
      <c r="AP290" s="37">
        <f>G290*(1-1)</f>
        <v>0</v>
      </c>
      <c r="AQ290" s="68" t="s">
        <v>213</v>
      </c>
      <c r="AV290" s="37">
        <f t="shared" si="262"/>
        <v>0</v>
      </c>
      <c r="AW290" s="37">
        <f t="shared" si="263"/>
        <v>0</v>
      </c>
      <c r="AX290" s="37">
        <f t="shared" si="264"/>
        <v>0</v>
      </c>
      <c r="AY290" s="68" t="s">
        <v>955</v>
      </c>
      <c r="AZ290" s="68" t="s">
        <v>924</v>
      </c>
      <c r="BA290" s="49" t="s">
        <v>220</v>
      </c>
      <c r="BC290" s="37">
        <f t="shared" si="265"/>
        <v>0</v>
      </c>
      <c r="BD290" s="37">
        <f t="shared" si="266"/>
        <v>0</v>
      </c>
      <c r="BE290" s="37">
        <v>0</v>
      </c>
      <c r="BF290" s="37">
        <f>290</f>
        <v>290</v>
      </c>
      <c r="BH290" s="37">
        <f t="shared" si="267"/>
        <v>0</v>
      </c>
      <c r="BI290" s="37">
        <f t="shared" si="268"/>
        <v>0</v>
      </c>
      <c r="BJ290" s="37">
        <f t="shared" si="269"/>
        <v>0</v>
      </c>
      <c r="BK290" s="37"/>
      <c r="BL290" s="37">
        <v>95</v>
      </c>
      <c r="BW290" s="37">
        <v>21</v>
      </c>
      <c r="BX290" s="3" t="s">
        <v>966</v>
      </c>
    </row>
    <row r="291" spans="1:76" x14ac:dyDescent="0.25">
      <c r="A291" s="1" t="s">
        <v>967</v>
      </c>
      <c r="B291" s="2" t="s">
        <v>960</v>
      </c>
      <c r="C291" s="258" t="s">
        <v>961</v>
      </c>
      <c r="D291" s="259"/>
      <c r="E291" s="2" t="s">
        <v>309</v>
      </c>
      <c r="F291" s="37">
        <v>3</v>
      </c>
      <c r="G291" s="66">
        <v>0</v>
      </c>
      <c r="H291" s="37">
        <f t="shared" si="248"/>
        <v>0</v>
      </c>
      <c r="I291" s="37">
        <f t="shared" si="249"/>
        <v>0</v>
      </c>
      <c r="J291" s="37">
        <f t="shared" si="250"/>
        <v>0</v>
      </c>
      <c r="K291" s="67" t="s">
        <v>217</v>
      </c>
      <c r="Z291" s="37">
        <f t="shared" si="251"/>
        <v>0</v>
      </c>
      <c r="AB291" s="37">
        <f t="shared" si="252"/>
        <v>0</v>
      </c>
      <c r="AC291" s="37">
        <f t="shared" si="253"/>
        <v>0</v>
      </c>
      <c r="AD291" s="37">
        <f t="shared" si="254"/>
        <v>0</v>
      </c>
      <c r="AE291" s="37">
        <f t="shared" si="255"/>
        <v>0</v>
      </c>
      <c r="AF291" s="37">
        <f t="shared" si="256"/>
        <v>0</v>
      </c>
      <c r="AG291" s="37">
        <f t="shared" si="257"/>
        <v>0</v>
      </c>
      <c r="AH291" s="37">
        <f t="shared" si="258"/>
        <v>0</v>
      </c>
      <c r="AI291" s="49" t="s">
        <v>89</v>
      </c>
      <c r="AJ291" s="37">
        <f t="shared" si="259"/>
        <v>0</v>
      </c>
      <c r="AK291" s="37">
        <f t="shared" si="260"/>
        <v>0</v>
      </c>
      <c r="AL291" s="37">
        <f t="shared" si="261"/>
        <v>0</v>
      </c>
      <c r="AN291" s="37">
        <v>21</v>
      </c>
      <c r="AO291" s="37">
        <f>G291*1</f>
        <v>0</v>
      </c>
      <c r="AP291" s="37">
        <f>G291*(1-1)</f>
        <v>0</v>
      </c>
      <c r="AQ291" s="68" t="s">
        <v>213</v>
      </c>
      <c r="AV291" s="37">
        <f t="shared" si="262"/>
        <v>0</v>
      </c>
      <c r="AW291" s="37">
        <f t="shared" si="263"/>
        <v>0</v>
      </c>
      <c r="AX291" s="37">
        <f t="shared" si="264"/>
        <v>0</v>
      </c>
      <c r="AY291" s="68" t="s">
        <v>955</v>
      </c>
      <c r="AZ291" s="68" t="s">
        <v>924</v>
      </c>
      <c r="BA291" s="49" t="s">
        <v>220</v>
      </c>
      <c r="BC291" s="37">
        <f t="shared" si="265"/>
        <v>0</v>
      </c>
      <c r="BD291" s="37">
        <f t="shared" si="266"/>
        <v>0</v>
      </c>
      <c r="BE291" s="37">
        <v>0</v>
      </c>
      <c r="BF291" s="37">
        <f>291</f>
        <v>291</v>
      </c>
      <c r="BH291" s="37">
        <f t="shared" si="267"/>
        <v>0</v>
      </c>
      <c r="BI291" s="37">
        <f t="shared" si="268"/>
        <v>0</v>
      </c>
      <c r="BJ291" s="37">
        <f t="shared" si="269"/>
        <v>0</v>
      </c>
      <c r="BK291" s="37"/>
      <c r="BL291" s="37">
        <v>95</v>
      </c>
      <c r="BW291" s="37">
        <v>21</v>
      </c>
      <c r="BX291" s="3" t="s">
        <v>961</v>
      </c>
    </row>
    <row r="292" spans="1:76" x14ac:dyDescent="0.25">
      <c r="A292" s="1" t="s">
        <v>968</v>
      </c>
      <c r="B292" s="2" t="s">
        <v>969</v>
      </c>
      <c r="C292" s="258" t="s">
        <v>970</v>
      </c>
      <c r="D292" s="259"/>
      <c r="E292" s="2" t="s">
        <v>309</v>
      </c>
      <c r="F292" s="37">
        <v>3</v>
      </c>
      <c r="G292" s="66">
        <v>0</v>
      </c>
      <c r="H292" s="37">
        <f t="shared" si="248"/>
        <v>0</v>
      </c>
      <c r="I292" s="37">
        <f t="shared" si="249"/>
        <v>0</v>
      </c>
      <c r="J292" s="37">
        <f t="shared" si="250"/>
        <v>0</v>
      </c>
      <c r="K292" s="67" t="s">
        <v>217</v>
      </c>
      <c r="Z292" s="37">
        <f t="shared" si="251"/>
        <v>0</v>
      </c>
      <c r="AB292" s="37">
        <f t="shared" si="252"/>
        <v>0</v>
      </c>
      <c r="AC292" s="37">
        <f t="shared" si="253"/>
        <v>0</v>
      </c>
      <c r="AD292" s="37">
        <f t="shared" si="254"/>
        <v>0</v>
      </c>
      <c r="AE292" s="37">
        <f t="shared" si="255"/>
        <v>0</v>
      </c>
      <c r="AF292" s="37">
        <f t="shared" si="256"/>
        <v>0</v>
      </c>
      <c r="AG292" s="37">
        <f t="shared" si="257"/>
        <v>0</v>
      </c>
      <c r="AH292" s="37">
        <f t="shared" si="258"/>
        <v>0</v>
      </c>
      <c r="AI292" s="49" t="s">
        <v>89</v>
      </c>
      <c r="AJ292" s="37">
        <f t="shared" si="259"/>
        <v>0</v>
      </c>
      <c r="AK292" s="37">
        <f t="shared" si="260"/>
        <v>0</v>
      </c>
      <c r="AL292" s="37">
        <f t="shared" si="261"/>
        <v>0</v>
      </c>
      <c r="AN292" s="37">
        <v>21</v>
      </c>
      <c r="AO292" s="37">
        <f>G292*0.16970339</f>
        <v>0</v>
      </c>
      <c r="AP292" s="37">
        <f>G292*(1-0.16970339)</f>
        <v>0</v>
      </c>
      <c r="AQ292" s="68" t="s">
        <v>213</v>
      </c>
      <c r="AV292" s="37">
        <f t="shared" si="262"/>
        <v>0</v>
      </c>
      <c r="AW292" s="37">
        <f t="shared" si="263"/>
        <v>0</v>
      </c>
      <c r="AX292" s="37">
        <f t="shared" si="264"/>
        <v>0</v>
      </c>
      <c r="AY292" s="68" t="s">
        <v>955</v>
      </c>
      <c r="AZ292" s="68" t="s">
        <v>924</v>
      </c>
      <c r="BA292" s="49" t="s">
        <v>220</v>
      </c>
      <c r="BC292" s="37">
        <f t="shared" si="265"/>
        <v>0</v>
      </c>
      <c r="BD292" s="37">
        <f t="shared" si="266"/>
        <v>0</v>
      </c>
      <c r="BE292" s="37">
        <v>0</v>
      </c>
      <c r="BF292" s="37">
        <f>292</f>
        <v>292</v>
      </c>
      <c r="BH292" s="37">
        <f t="shared" si="267"/>
        <v>0</v>
      </c>
      <c r="BI292" s="37">
        <f t="shared" si="268"/>
        <v>0</v>
      </c>
      <c r="BJ292" s="37">
        <f t="shared" si="269"/>
        <v>0</v>
      </c>
      <c r="BK292" s="37"/>
      <c r="BL292" s="37">
        <v>95</v>
      </c>
      <c r="BW292" s="37">
        <v>21</v>
      </c>
      <c r="BX292" s="3" t="s">
        <v>970</v>
      </c>
    </row>
    <row r="293" spans="1:76" x14ac:dyDescent="0.25">
      <c r="A293" s="1" t="s">
        <v>971</v>
      </c>
      <c r="B293" s="2" t="s">
        <v>972</v>
      </c>
      <c r="C293" s="258" t="s">
        <v>973</v>
      </c>
      <c r="D293" s="259"/>
      <c r="E293" s="2" t="s">
        <v>309</v>
      </c>
      <c r="F293" s="37">
        <v>1.2857099999999999</v>
      </c>
      <c r="G293" s="66">
        <v>0</v>
      </c>
      <c r="H293" s="37">
        <f t="shared" si="248"/>
        <v>0</v>
      </c>
      <c r="I293" s="37">
        <f t="shared" si="249"/>
        <v>0</v>
      </c>
      <c r="J293" s="37">
        <f t="shared" si="250"/>
        <v>0</v>
      </c>
      <c r="K293" s="67" t="s">
        <v>217</v>
      </c>
      <c r="Z293" s="37">
        <f t="shared" si="251"/>
        <v>0</v>
      </c>
      <c r="AB293" s="37">
        <f t="shared" si="252"/>
        <v>0</v>
      </c>
      <c r="AC293" s="37">
        <f t="shared" si="253"/>
        <v>0</v>
      </c>
      <c r="AD293" s="37">
        <f t="shared" si="254"/>
        <v>0</v>
      </c>
      <c r="AE293" s="37">
        <f t="shared" si="255"/>
        <v>0</v>
      </c>
      <c r="AF293" s="37">
        <f t="shared" si="256"/>
        <v>0</v>
      </c>
      <c r="AG293" s="37">
        <f t="shared" si="257"/>
        <v>0</v>
      </c>
      <c r="AH293" s="37">
        <f t="shared" si="258"/>
        <v>0</v>
      </c>
      <c r="AI293" s="49" t="s">
        <v>89</v>
      </c>
      <c r="AJ293" s="37">
        <f t="shared" si="259"/>
        <v>0</v>
      </c>
      <c r="AK293" s="37">
        <f t="shared" si="260"/>
        <v>0</v>
      </c>
      <c r="AL293" s="37">
        <f t="shared" si="261"/>
        <v>0</v>
      </c>
      <c r="AN293" s="37">
        <v>21</v>
      </c>
      <c r="AO293" s="37">
        <f>G293*1</f>
        <v>0</v>
      </c>
      <c r="AP293" s="37">
        <f>G293*(1-1)</f>
        <v>0</v>
      </c>
      <c r="AQ293" s="68" t="s">
        <v>213</v>
      </c>
      <c r="AV293" s="37">
        <f t="shared" si="262"/>
        <v>0</v>
      </c>
      <c r="AW293" s="37">
        <f t="shared" si="263"/>
        <v>0</v>
      </c>
      <c r="AX293" s="37">
        <f t="shared" si="264"/>
        <v>0</v>
      </c>
      <c r="AY293" s="68" t="s">
        <v>955</v>
      </c>
      <c r="AZ293" s="68" t="s">
        <v>924</v>
      </c>
      <c r="BA293" s="49" t="s">
        <v>220</v>
      </c>
      <c r="BC293" s="37">
        <f t="shared" si="265"/>
        <v>0</v>
      </c>
      <c r="BD293" s="37">
        <f t="shared" si="266"/>
        <v>0</v>
      </c>
      <c r="BE293" s="37">
        <v>0</v>
      </c>
      <c r="BF293" s="37">
        <f>293</f>
        <v>293</v>
      </c>
      <c r="BH293" s="37">
        <f t="shared" si="267"/>
        <v>0</v>
      </c>
      <c r="BI293" s="37">
        <f t="shared" si="268"/>
        <v>0</v>
      </c>
      <c r="BJ293" s="37">
        <f t="shared" si="269"/>
        <v>0</v>
      </c>
      <c r="BK293" s="37"/>
      <c r="BL293" s="37">
        <v>95</v>
      </c>
      <c r="BW293" s="37">
        <v>21</v>
      </c>
      <c r="BX293" s="3" t="s">
        <v>973</v>
      </c>
    </row>
    <row r="294" spans="1:76" x14ac:dyDescent="0.25">
      <c r="A294" s="1" t="s">
        <v>974</v>
      </c>
      <c r="B294" s="2" t="s">
        <v>444</v>
      </c>
      <c r="C294" s="258" t="s">
        <v>445</v>
      </c>
      <c r="D294" s="259"/>
      <c r="E294" s="2" t="s">
        <v>266</v>
      </c>
      <c r="F294" s="37">
        <v>17.079719999999998</v>
      </c>
      <c r="G294" s="66">
        <v>0</v>
      </c>
      <c r="H294" s="37">
        <f t="shared" si="248"/>
        <v>0</v>
      </c>
      <c r="I294" s="37">
        <f t="shared" si="249"/>
        <v>0</v>
      </c>
      <c r="J294" s="37">
        <f t="shared" si="250"/>
        <v>0</v>
      </c>
      <c r="K294" s="67" t="s">
        <v>217</v>
      </c>
      <c r="Z294" s="37">
        <f t="shared" si="251"/>
        <v>0</v>
      </c>
      <c r="AB294" s="37">
        <f t="shared" si="252"/>
        <v>0</v>
      </c>
      <c r="AC294" s="37">
        <f t="shared" si="253"/>
        <v>0</v>
      </c>
      <c r="AD294" s="37">
        <f t="shared" si="254"/>
        <v>0</v>
      </c>
      <c r="AE294" s="37">
        <f t="shared" si="255"/>
        <v>0</v>
      </c>
      <c r="AF294" s="37">
        <f t="shared" si="256"/>
        <v>0</v>
      </c>
      <c r="AG294" s="37">
        <f t="shared" si="257"/>
        <v>0</v>
      </c>
      <c r="AH294" s="37">
        <f t="shared" si="258"/>
        <v>0</v>
      </c>
      <c r="AI294" s="49" t="s">
        <v>89</v>
      </c>
      <c r="AJ294" s="37">
        <f t="shared" si="259"/>
        <v>0</v>
      </c>
      <c r="AK294" s="37">
        <f t="shared" si="260"/>
        <v>0</v>
      </c>
      <c r="AL294" s="37">
        <f t="shared" si="261"/>
        <v>0</v>
      </c>
      <c r="AN294" s="37">
        <v>21</v>
      </c>
      <c r="AO294" s="37">
        <f>G294*0</f>
        <v>0</v>
      </c>
      <c r="AP294" s="37">
        <f>G294*(1-0)</f>
        <v>0</v>
      </c>
      <c r="AQ294" s="68" t="s">
        <v>231</v>
      </c>
      <c r="AV294" s="37">
        <f t="shared" si="262"/>
        <v>0</v>
      </c>
      <c r="AW294" s="37">
        <f t="shared" si="263"/>
        <v>0</v>
      </c>
      <c r="AX294" s="37">
        <f t="shared" si="264"/>
        <v>0</v>
      </c>
      <c r="AY294" s="68" t="s">
        <v>955</v>
      </c>
      <c r="AZ294" s="68" t="s">
        <v>924</v>
      </c>
      <c r="BA294" s="49" t="s">
        <v>220</v>
      </c>
      <c r="BC294" s="37">
        <f t="shared" si="265"/>
        <v>0</v>
      </c>
      <c r="BD294" s="37">
        <f t="shared" si="266"/>
        <v>0</v>
      </c>
      <c r="BE294" s="37">
        <v>0</v>
      </c>
      <c r="BF294" s="37">
        <f>294</f>
        <v>294</v>
      </c>
      <c r="BH294" s="37">
        <f t="shared" si="267"/>
        <v>0</v>
      </c>
      <c r="BI294" s="37">
        <f t="shared" si="268"/>
        <v>0</v>
      </c>
      <c r="BJ294" s="37">
        <f t="shared" si="269"/>
        <v>0</v>
      </c>
      <c r="BK294" s="37"/>
      <c r="BL294" s="37">
        <v>95</v>
      </c>
      <c r="BW294" s="37">
        <v>21</v>
      </c>
      <c r="BX294" s="3" t="s">
        <v>445</v>
      </c>
    </row>
    <row r="295" spans="1:76" x14ac:dyDescent="0.25">
      <c r="A295" s="61" t="s">
        <v>4</v>
      </c>
      <c r="B295" s="62" t="s">
        <v>171</v>
      </c>
      <c r="C295" s="343" t="s">
        <v>172</v>
      </c>
      <c r="D295" s="344"/>
      <c r="E295" s="63" t="s">
        <v>81</v>
      </c>
      <c r="F295" s="63" t="s">
        <v>81</v>
      </c>
      <c r="G295" s="64" t="s">
        <v>81</v>
      </c>
      <c r="H295" s="43">
        <f>SUM(H296:H340)</f>
        <v>0</v>
      </c>
      <c r="I295" s="43">
        <f>SUM(I296:I340)</f>
        <v>0</v>
      </c>
      <c r="J295" s="43">
        <f>SUM(J296:J340)</f>
        <v>0</v>
      </c>
      <c r="K295" s="65" t="s">
        <v>4</v>
      </c>
      <c r="AI295" s="49" t="s">
        <v>89</v>
      </c>
      <c r="AS295" s="43">
        <f>SUM(AJ296:AJ340)</f>
        <v>0</v>
      </c>
      <c r="AT295" s="43">
        <f>SUM(AK296:AK340)</f>
        <v>0</v>
      </c>
      <c r="AU295" s="43">
        <f>SUM(AL296:AL340)</f>
        <v>0</v>
      </c>
    </row>
    <row r="296" spans="1:76" x14ac:dyDescent="0.25">
      <c r="A296" s="1" t="s">
        <v>975</v>
      </c>
      <c r="B296" s="2" t="s">
        <v>976</v>
      </c>
      <c r="C296" s="258" t="s">
        <v>977</v>
      </c>
      <c r="D296" s="259"/>
      <c r="E296" s="2" t="s">
        <v>309</v>
      </c>
      <c r="F296" s="37">
        <v>36</v>
      </c>
      <c r="G296" s="66">
        <v>0</v>
      </c>
      <c r="H296" s="37">
        <f t="shared" ref="H296:H340" si="270">F296*AO296</f>
        <v>0</v>
      </c>
      <c r="I296" s="37">
        <f t="shared" ref="I296:I340" si="271">F296*AP296</f>
        <v>0</v>
      </c>
      <c r="J296" s="37">
        <f t="shared" ref="J296:J340" si="272">F296*G296</f>
        <v>0</v>
      </c>
      <c r="K296" s="67" t="s">
        <v>217</v>
      </c>
      <c r="Z296" s="37">
        <f t="shared" ref="Z296:Z340" si="273">IF(AQ296="5",BJ296,0)</f>
        <v>0</v>
      </c>
      <c r="AB296" s="37">
        <f t="shared" ref="AB296:AB340" si="274">IF(AQ296="1",BH296,0)</f>
        <v>0</v>
      </c>
      <c r="AC296" s="37">
        <f t="shared" ref="AC296:AC340" si="275">IF(AQ296="1",BI296,0)</f>
        <v>0</v>
      </c>
      <c r="AD296" s="37">
        <f t="shared" ref="AD296:AD340" si="276">IF(AQ296="7",BH296,0)</f>
        <v>0</v>
      </c>
      <c r="AE296" s="37">
        <f t="shared" ref="AE296:AE340" si="277">IF(AQ296="7",BI296,0)</f>
        <v>0</v>
      </c>
      <c r="AF296" s="37">
        <f t="shared" ref="AF296:AF340" si="278">IF(AQ296="2",BH296,0)</f>
        <v>0</v>
      </c>
      <c r="AG296" s="37">
        <f t="shared" ref="AG296:AG340" si="279">IF(AQ296="2",BI296,0)</f>
        <v>0</v>
      </c>
      <c r="AH296" s="37">
        <f t="shared" ref="AH296:AH340" si="280">IF(AQ296="0",BJ296,0)</f>
        <v>0</v>
      </c>
      <c r="AI296" s="49" t="s">
        <v>89</v>
      </c>
      <c r="AJ296" s="37">
        <f t="shared" ref="AJ296:AJ340" si="281">IF(AN296=0,J296,0)</f>
        <v>0</v>
      </c>
      <c r="AK296" s="37">
        <f t="shared" ref="AK296:AK340" si="282">IF(AN296=12,J296,0)</f>
        <v>0</v>
      </c>
      <c r="AL296" s="37">
        <f t="shared" ref="AL296:AL340" si="283">IF(AN296=21,J296,0)</f>
        <v>0</v>
      </c>
      <c r="AN296" s="37">
        <v>21</v>
      </c>
      <c r="AO296" s="37">
        <f>G296*0</f>
        <v>0</v>
      </c>
      <c r="AP296" s="37">
        <f>G296*(1-0)</f>
        <v>0</v>
      </c>
      <c r="AQ296" s="68" t="s">
        <v>213</v>
      </c>
      <c r="AV296" s="37">
        <f t="shared" ref="AV296:AV340" si="284">AW296+AX296</f>
        <v>0</v>
      </c>
      <c r="AW296" s="37">
        <f t="shared" ref="AW296:AW340" si="285">F296*AO296</f>
        <v>0</v>
      </c>
      <c r="AX296" s="37">
        <f t="shared" ref="AX296:AX340" si="286">F296*AP296</f>
        <v>0</v>
      </c>
      <c r="AY296" s="68" t="s">
        <v>978</v>
      </c>
      <c r="AZ296" s="68" t="s">
        <v>924</v>
      </c>
      <c r="BA296" s="49" t="s">
        <v>220</v>
      </c>
      <c r="BC296" s="37">
        <f t="shared" ref="BC296:BC340" si="287">AW296+AX296</f>
        <v>0</v>
      </c>
      <c r="BD296" s="37">
        <f t="shared" ref="BD296:BD340" si="288">G296/(100-BE296)*100</f>
        <v>0</v>
      </c>
      <c r="BE296" s="37">
        <v>0</v>
      </c>
      <c r="BF296" s="37">
        <f>296</f>
        <v>296</v>
      </c>
      <c r="BH296" s="37">
        <f t="shared" ref="BH296:BH340" si="289">F296*AO296</f>
        <v>0</v>
      </c>
      <c r="BI296" s="37">
        <f t="shared" ref="BI296:BI340" si="290">F296*AP296</f>
        <v>0</v>
      </c>
      <c r="BJ296" s="37">
        <f t="shared" ref="BJ296:BJ340" si="291">F296*G296</f>
        <v>0</v>
      </c>
      <c r="BK296" s="37"/>
      <c r="BL296" s="37">
        <v>96</v>
      </c>
      <c r="BW296" s="37">
        <v>21</v>
      </c>
      <c r="BX296" s="3" t="s">
        <v>977</v>
      </c>
    </row>
    <row r="297" spans="1:76" x14ac:dyDescent="0.25">
      <c r="A297" s="1" t="s">
        <v>979</v>
      </c>
      <c r="B297" s="2" t="s">
        <v>980</v>
      </c>
      <c r="C297" s="258" t="s">
        <v>981</v>
      </c>
      <c r="D297" s="259"/>
      <c r="E297" s="2" t="s">
        <v>251</v>
      </c>
      <c r="F297" s="37">
        <v>2.93</v>
      </c>
      <c r="G297" s="66">
        <v>0</v>
      </c>
      <c r="H297" s="37">
        <f t="shared" si="270"/>
        <v>0</v>
      </c>
      <c r="I297" s="37">
        <f t="shared" si="271"/>
        <v>0</v>
      </c>
      <c r="J297" s="37">
        <f t="shared" si="272"/>
        <v>0</v>
      </c>
      <c r="K297" s="67" t="s">
        <v>217</v>
      </c>
      <c r="Z297" s="37">
        <f t="shared" si="273"/>
        <v>0</v>
      </c>
      <c r="AB297" s="37">
        <f t="shared" si="274"/>
        <v>0</v>
      </c>
      <c r="AC297" s="37">
        <f t="shared" si="275"/>
        <v>0</v>
      </c>
      <c r="AD297" s="37">
        <f t="shared" si="276"/>
        <v>0</v>
      </c>
      <c r="AE297" s="37">
        <f t="shared" si="277"/>
        <v>0</v>
      </c>
      <c r="AF297" s="37">
        <f t="shared" si="278"/>
        <v>0</v>
      </c>
      <c r="AG297" s="37">
        <f t="shared" si="279"/>
        <v>0</v>
      </c>
      <c r="AH297" s="37">
        <f t="shared" si="280"/>
        <v>0</v>
      </c>
      <c r="AI297" s="49" t="s">
        <v>89</v>
      </c>
      <c r="AJ297" s="37">
        <f t="shared" si="281"/>
        <v>0</v>
      </c>
      <c r="AK297" s="37">
        <f t="shared" si="282"/>
        <v>0</v>
      </c>
      <c r="AL297" s="37">
        <f t="shared" si="283"/>
        <v>0</v>
      </c>
      <c r="AN297" s="37">
        <v>21</v>
      </c>
      <c r="AO297" s="37">
        <f>G297*0.206548387</f>
        <v>0</v>
      </c>
      <c r="AP297" s="37">
        <f>G297*(1-0.206548387)</f>
        <v>0</v>
      </c>
      <c r="AQ297" s="68" t="s">
        <v>213</v>
      </c>
      <c r="AV297" s="37">
        <f t="shared" si="284"/>
        <v>0</v>
      </c>
      <c r="AW297" s="37">
        <f t="shared" si="285"/>
        <v>0</v>
      </c>
      <c r="AX297" s="37">
        <f t="shared" si="286"/>
        <v>0</v>
      </c>
      <c r="AY297" s="68" t="s">
        <v>978</v>
      </c>
      <c r="AZ297" s="68" t="s">
        <v>924</v>
      </c>
      <c r="BA297" s="49" t="s">
        <v>220</v>
      </c>
      <c r="BC297" s="37">
        <f t="shared" si="287"/>
        <v>0</v>
      </c>
      <c r="BD297" s="37">
        <f t="shared" si="288"/>
        <v>0</v>
      </c>
      <c r="BE297" s="37">
        <v>0</v>
      </c>
      <c r="BF297" s="37">
        <f>297</f>
        <v>297</v>
      </c>
      <c r="BH297" s="37">
        <f t="shared" si="289"/>
        <v>0</v>
      </c>
      <c r="BI297" s="37">
        <f t="shared" si="290"/>
        <v>0</v>
      </c>
      <c r="BJ297" s="37">
        <f t="shared" si="291"/>
        <v>0</v>
      </c>
      <c r="BK297" s="37"/>
      <c r="BL297" s="37">
        <v>96</v>
      </c>
      <c r="BW297" s="37">
        <v>21</v>
      </c>
      <c r="BX297" s="3" t="s">
        <v>981</v>
      </c>
    </row>
    <row r="298" spans="1:76" x14ac:dyDescent="0.25">
      <c r="A298" s="1" t="s">
        <v>982</v>
      </c>
      <c r="B298" s="2" t="s">
        <v>983</v>
      </c>
      <c r="C298" s="258" t="s">
        <v>984</v>
      </c>
      <c r="D298" s="259"/>
      <c r="E298" s="2" t="s">
        <v>251</v>
      </c>
      <c r="F298" s="37">
        <v>10.75</v>
      </c>
      <c r="G298" s="66">
        <v>0</v>
      </c>
      <c r="H298" s="37">
        <f t="shared" si="270"/>
        <v>0</v>
      </c>
      <c r="I298" s="37">
        <f t="shared" si="271"/>
        <v>0</v>
      </c>
      <c r="J298" s="37">
        <f t="shared" si="272"/>
        <v>0</v>
      </c>
      <c r="K298" s="67" t="s">
        <v>217</v>
      </c>
      <c r="Z298" s="37">
        <f t="shared" si="273"/>
        <v>0</v>
      </c>
      <c r="AB298" s="37">
        <f t="shared" si="274"/>
        <v>0</v>
      </c>
      <c r="AC298" s="37">
        <f t="shared" si="275"/>
        <v>0</v>
      </c>
      <c r="AD298" s="37">
        <f t="shared" si="276"/>
        <v>0</v>
      </c>
      <c r="AE298" s="37">
        <f t="shared" si="277"/>
        <v>0</v>
      </c>
      <c r="AF298" s="37">
        <f t="shared" si="278"/>
        <v>0</v>
      </c>
      <c r="AG298" s="37">
        <f t="shared" si="279"/>
        <v>0</v>
      </c>
      <c r="AH298" s="37">
        <f t="shared" si="280"/>
        <v>0</v>
      </c>
      <c r="AI298" s="49" t="s">
        <v>89</v>
      </c>
      <c r="AJ298" s="37">
        <f t="shared" si="281"/>
        <v>0</v>
      </c>
      <c r="AK298" s="37">
        <f t="shared" si="282"/>
        <v>0</v>
      </c>
      <c r="AL298" s="37">
        <f t="shared" si="283"/>
        <v>0</v>
      </c>
      <c r="AN298" s="37">
        <v>21</v>
      </c>
      <c r="AO298" s="37">
        <f>G298*0.15875</f>
        <v>0</v>
      </c>
      <c r="AP298" s="37">
        <f>G298*(1-0.15875)</f>
        <v>0</v>
      </c>
      <c r="AQ298" s="68" t="s">
        <v>213</v>
      </c>
      <c r="AV298" s="37">
        <f t="shared" si="284"/>
        <v>0</v>
      </c>
      <c r="AW298" s="37">
        <f t="shared" si="285"/>
        <v>0</v>
      </c>
      <c r="AX298" s="37">
        <f t="shared" si="286"/>
        <v>0</v>
      </c>
      <c r="AY298" s="68" t="s">
        <v>978</v>
      </c>
      <c r="AZ298" s="68" t="s">
        <v>924</v>
      </c>
      <c r="BA298" s="49" t="s">
        <v>220</v>
      </c>
      <c r="BC298" s="37">
        <f t="shared" si="287"/>
        <v>0</v>
      </c>
      <c r="BD298" s="37">
        <f t="shared" si="288"/>
        <v>0</v>
      </c>
      <c r="BE298" s="37">
        <v>0</v>
      </c>
      <c r="BF298" s="37">
        <f>298</f>
        <v>298</v>
      </c>
      <c r="BH298" s="37">
        <f t="shared" si="289"/>
        <v>0</v>
      </c>
      <c r="BI298" s="37">
        <f t="shared" si="290"/>
        <v>0</v>
      </c>
      <c r="BJ298" s="37">
        <f t="shared" si="291"/>
        <v>0</v>
      </c>
      <c r="BK298" s="37"/>
      <c r="BL298" s="37">
        <v>96</v>
      </c>
      <c r="BW298" s="37">
        <v>21</v>
      </c>
      <c r="BX298" s="3" t="s">
        <v>984</v>
      </c>
    </row>
    <row r="299" spans="1:76" x14ac:dyDescent="0.25">
      <c r="A299" s="1" t="s">
        <v>985</v>
      </c>
      <c r="B299" s="2" t="s">
        <v>986</v>
      </c>
      <c r="C299" s="258" t="s">
        <v>987</v>
      </c>
      <c r="D299" s="259"/>
      <c r="E299" s="2" t="s">
        <v>251</v>
      </c>
      <c r="F299" s="37">
        <v>14.9175</v>
      </c>
      <c r="G299" s="66">
        <v>0</v>
      </c>
      <c r="H299" s="37">
        <f t="shared" si="270"/>
        <v>0</v>
      </c>
      <c r="I299" s="37">
        <f t="shared" si="271"/>
        <v>0</v>
      </c>
      <c r="J299" s="37">
        <f t="shared" si="272"/>
        <v>0</v>
      </c>
      <c r="K299" s="67" t="s">
        <v>217</v>
      </c>
      <c r="Z299" s="37">
        <f t="shared" si="273"/>
        <v>0</v>
      </c>
      <c r="AB299" s="37">
        <f t="shared" si="274"/>
        <v>0</v>
      </c>
      <c r="AC299" s="37">
        <f t="shared" si="275"/>
        <v>0</v>
      </c>
      <c r="AD299" s="37">
        <f t="shared" si="276"/>
        <v>0</v>
      </c>
      <c r="AE299" s="37">
        <f t="shared" si="277"/>
        <v>0</v>
      </c>
      <c r="AF299" s="37">
        <f t="shared" si="278"/>
        <v>0</v>
      </c>
      <c r="AG299" s="37">
        <f t="shared" si="279"/>
        <v>0</v>
      </c>
      <c r="AH299" s="37">
        <f t="shared" si="280"/>
        <v>0</v>
      </c>
      <c r="AI299" s="49" t="s">
        <v>89</v>
      </c>
      <c r="AJ299" s="37">
        <f t="shared" si="281"/>
        <v>0</v>
      </c>
      <c r="AK299" s="37">
        <f t="shared" si="282"/>
        <v>0</v>
      </c>
      <c r="AL299" s="37">
        <f t="shared" si="283"/>
        <v>0</v>
      </c>
      <c r="AN299" s="37">
        <v>21</v>
      </c>
      <c r="AO299" s="37">
        <f>G299*0.178538504</f>
        <v>0</v>
      </c>
      <c r="AP299" s="37">
        <f>G299*(1-0.178538504)</f>
        <v>0</v>
      </c>
      <c r="AQ299" s="68" t="s">
        <v>213</v>
      </c>
      <c r="AV299" s="37">
        <f t="shared" si="284"/>
        <v>0</v>
      </c>
      <c r="AW299" s="37">
        <f t="shared" si="285"/>
        <v>0</v>
      </c>
      <c r="AX299" s="37">
        <f t="shared" si="286"/>
        <v>0</v>
      </c>
      <c r="AY299" s="68" t="s">
        <v>978</v>
      </c>
      <c r="AZ299" s="68" t="s">
        <v>924</v>
      </c>
      <c r="BA299" s="49" t="s">
        <v>220</v>
      </c>
      <c r="BC299" s="37">
        <f t="shared" si="287"/>
        <v>0</v>
      </c>
      <c r="BD299" s="37">
        <f t="shared" si="288"/>
        <v>0</v>
      </c>
      <c r="BE299" s="37">
        <v>0</v>
      </c>
      <c r="BF299" s="37">
        <f>299</f>
        <v>299</v>
      </c>
      <c r="BH299" s="37">
        <f t="shared" si="289"/>
        <v>0</v>
      </c>
      <c r="BI299" s="37">
        <f t="shared" si="290"/>
        <v>0</v>
      </c>
      <c r="BJ299" s="37">
        <f t="shared" si="291"/>
        <v>0</v>
      </c>
      <c r="BK299" s="37"/>
      <c r="BL299" s="37">
        <v>96</v>
      </c>
      <c r="BW299" s="37">
        <v>21</v>
      </c>
      <c r="BX299" s="3" t="s">
        <v>987</v>
      </c>
    </row>
    <row r="300" spans="1:76" x14ac:dyDescent="0.25">
      <c r="A300" s="1" t="s">
        <v>988</v>
      </c>
      <c r="B300" s="2" t="s">
        <v>989</v>
      </c>
      <c r="C300" s="258" t="s">
        <v>990</v>
      </c>
      <c r="D300" s="259"/>
      <c r="E300" s="2" t="s">
        <v>309</v>
      </c>
      <c r="F300" s="37">
        <v>32</v>
      </c>
      <c r="G300" s="66">
        <v>0</v>
      </c>
      <c r="H300" s="37">
        <f t="shared" si="270"/>
        <v>0</v>
      </c>
      <c r="I300" s="37">
        <f t="shared" si="271"/>
        <v>0</v>
      </c>
      <c r="J300" s="37">
        <f t="shared" si="272"/>
        <v>0</v>
      </c>
      <c r="K300" s="67" t="s">
        <v>217</v>
      </c>
      <c r="Z300" s="37">
        <f t="shared" si="273"/>
        <v>0</v>
      </c>
      <c r="AB300" s="37">
        <f t="shared" si="274"/>
        <v>0</v>
      </c>
      <c r="AC300" s="37">
        <f t="shared" si="275"/>
        <v>0</v>
      </c>
      <c r="AD300" s="37">
        <f t="shared" si="276"/>
        <v>0</v>
      </c>
      <c r="AE300" s="37">
        <f t="shared" si="277"/>
        <v>0</v>
      </c>
      <c r="AF300" s="37">
        <f t="shared" si="278"/>
        <v>0</v>
      </c>
      <c r="AG300" s="37">
        <f t="shared" si="279"/>
        <v>0</v>
      </c>
      <c r="AH300" s="37">
        <f t="shared" si="280"/>
        <v>0</v>
      </c>
      <c r="AI300" s="49" t="s">
        <v>89</v>
      </c>
      <c r="AJ300" s="37">
        <f t="shared" si="281"/>
        <v>0</v>
      </c>
      <c r="AK300" s="37">
        <f t="shared" si="282"/>
        <v>0</v>
      </c>
      <c r="AL300" s="37">
        <f t="shared" si="283"/>
        <v>0</v>
      </c>
      <c r="AN300" s="37">
        <v>21</v>
      </c>
      <c r="AO300" s="37">
        <f>G300*0</f>
        <v>0</v>
      </c>
      <c r="AP300" s="37">
        <f>G300*(1-0)</f>
        <v>0</v>
      </c>
      <c r="AQ300" s="68" t="s">
        <v>213</v>
      </c>
      <c r="AV300" s="37">
        <f t="shared" si="284"/>
        <v>0</v>
      </c>
      <c r="AW300" s="37">
        <f t="shared" si="285"/>
        <v>0</v>
      </c>
      <c r="AX300" s="37">
        <f t="shared" si="286"/>
        <v>0</v>
      </c>
      <c r="AY300" s="68" t="s">
        <v>978</v>
      </c>
      <c r="AZ300" s="68" t="s">
        <v>924</v>
      </c>
      <c r="BA300" s="49" t="s">
        <v>220</v>
      </c>
      <c r="BC300" s="37">
        <f t="shared" si="287"/>
        <v>0</v>
      </c>
      <c r="BD300" s="37">
        <f t="shared" si="288"/>
        <v>0</v>
      </c>
      <c r="BE300" s="37">
        <v>0</v>
      </c>
      <c r="BF300" s="37">
        <f>300</f>
        <v>300</v>
      </c>
      <c r="BH300" s="37">
        <f t="shared" si="289"/>
        <v>0</v>
      </c>
      <c r="BI300" s="37">
        <f t="shared" si="290"/>
        <v>0</v>
      </c>
      <c r="BJ300" s="37">
        <f t="shared" si="291"/>
        <v>0</v>
      </c>
      <c r="BK300" s="37"/>
      <c r="BL300" s="37">
        <v>96</v>
      </c>
      <c r="BW300" s="37">
        <v>21</v>
      </c>
      <c r="BX300" s="3" t="s">
        <v>990</v>
      </c>
    </row>
    <row r="301" spans="1:76" x14ac:dyDescent="0.25">
      <c r="A301" s="1" t="s">
        <v>991</v>
      </c>
      <c r="B301" s="2" t="s">
        <v>992</v>
      </c>
      <c r="C301" s="258" t="s">
        <v>993</v>
      </c>
      <c r="D301" s="259"/>
      <c r="E301" s="2" t="s">
        <v>309</v>
      </c>
      <c r="F301" s="37">
        <v>2</v>
      </c>
      <c r="G301" s="66">
        <v>0</v>
      </c>
      <c r="H301" s="37">
        <f t="shared" si="270"/>
        <v>0</v>
      </c>
      <c r="I301" s="37">
        <f t="shared" si="271"/>
        <v>0</v>
      </c>
      <c r="J301" s="37">
        <f t="shared" si="272"/>
        <v>0</v>
      </c>
      <c r="K301" s="67" t="s">
        <v>217</v>
      </c>
      <c r="Z301" s="37">
        <f t="shared" si="273"/>
        <v>0</v>
      </c>
      <c r="AB301" s="37">
        <f t="shared" si="274"/>
        <v>0</v>
      </c>
      <c r="AC301" s="37">
        <f t="shared" si="275"/>
        <v>0</v>
      </c>
      <c r="AD301" s="37">
        <f t="shared" si="276"/>
        <v>0</v>
      </c>
      <c r="AE301" s="37">
        <f t="shared" si="277"/>
        <v>0</v>
      </c>
      <c r="AF301" s="37">
        <f t="shared" si="278"/>
        <v>0</v>
      </c>
      <c r="AG301" s="37">
        <f t="shared" si="279"/>
        <v>0</v>
      </c>
      <c r="AH301" s="37">
        <f t="shared" si="280"/>
        <v>0</v>
      </c>
      <c r="AI301" s="49" t="s">
        <v>89</v>
      </c>
      <c r="AJ301" s="37">
        <f t="shared" si="281"/>
        <v>0</v>
      </c>
      <c r="AK301" s="37">
        <f t="shared" si="282"/>
        <v>0</v>
      </c>
      <c r="AL301" s="37">
        <f t="shared" si="283"/>
        <v>0</v>
      </c>
      <c r="AN301" s="37">
        <v>21</v>
      </c>
      <c r="AO301" s="37">
        <f>G301*0</f>
        <v>0</v>
      </c>
      <c r="AP301" s="37">
        <f>G301*(1-0)</f>
        <v>0</v>
      </c>
      <c r="AQ301" s="68" t="s">
        <v>213</v>
      </c>
      <c r="AV301" s="37">
        <f t="shared" si="284"/>
        <v>0</v>
      </c>
      <c r="AW301" s="37">
        <f t="shared" si="285"/>
        <v>0</v>
      </c>
      <c r="AX301" s="37">
        <f t="shared" si="286"/>
        <v>0</v>
      </c>
      <c r="AY301" s="68" t="s">
        <v>978</v>
      </c>
      <c r="AZ301" s="68" t="s">
        <v>924</v>
      </c>
      <c r="BA301" s="49" t="s">
        <v>220</v>
      </c>
      <c r="BC301" s="37">
        <f t="shared" si="287"/>
        <v>0</v>
      </c>
      <c r="BD301" s="37">
        <f t="shared" si="288"/>
        <v>0</v>
      </c>
      <c r="BE301" s="37">
        <v>0</v>
      </c>
      <c r="BF301" s="37">
        <f>301</f>
        <v>301</v>
      </c>
      <c r="BH301" s="37">
        <f t="shared" si="289"/>
        <v>0</v>
      </c>
      <c r="BI301" s="37">
        <f t="shared" si="290"/>
        <v>0</v>
      </c>
      <c r="BJ301" s="37">
        <f t="shared" si="291"/>
        <v>0</v>
      </c>
      <c r="BK301" s="37"/>
      <c r="BL301" s="37">
        <v>96</v>
      </c>
      <c r="BW301" s="37">
        <v>21</v>
      </c>
      <c r="BX301" s="3" t="s">
        <v>993</v>
      </c>
    </row>
    <row r="302" spans="1:76" x14ac:dyDescent="0.25">
      <c r="A302" s="1" t="s">
        <v>994</v>
      </c>
      <c r="B302" s="2" t="s">
        <v>995</v>
      </c>
      <c r="C302" s="258" t="s">
        <v>996</v>
      </c>
      <c r="D302" s="259"/>
      <c r="E302" s="2" t="s">
        <v>251</v>
      </c>
      <c r="F302" s="37">
        <v>34.776000000000003</v>
      </c>
      <c r="G302" s="66">
        <v>0</v>
      </c>
      <c r="H302" s="37">
        <f t="shared" si="270"/>
        <v>0</v>
      </c>
      <c r="I302" s="37">
        <f t="shared" si="271"/>
        <v>0</v>
      </c>
      <c r="J302" s="37">
        <f t="shared" si="272"/>
        <v>0</v>
      </c>
      <c r="K302" s="67" t="s">
        <v>217</v>
      </c>
      <c r="Z302" s="37">
        <f t="shared" si="273"/>
        <v>0</v>
      </c>
      <c r="AB302" s="37">
        <f t="shared" si="274"/>
        <v>0</v>
      </c>
      <c r="AC302" s="37">
        <f t="shared" si="275"/>
        <v>0</v>
      </c>
      <c r="AD302" s="37">
        <f t="shared" si="276"/>
        <v>0</v>
      </c>
      <c r="AE302" s="37">
        <f t="shared" si="277"/>
        <v>0</v>
      </c>
      <c r="AF302" s="37">
        <f t="shared" si="278"/>
        <v>0</v>
      </c>
      <c r="AG302" s="37">
        <f t="shared" si="279"/>
        <v>0</v>
      </c>
      <c r="AH302" s="37">
        <f t="shared" si="280"/>
        <v>0</v>
      </c>
      <c r="AI302" s="49" t="s">
        <v>89</v>
      </c>
      <c r="AJ302" s="37">
        <f t="shared" si="281"/>
        <v>0</v>
      </c>
      <c r="AK302" s="37">
        <f t="shared" si="282"/>
        <v>0</v>
      </c>
      <c r="AL302" s="37">
        <f t="shared" si="283"/>
        <v>0</v>
      </c>
      <c r="AN302" s="37">
        <v>21</v>
      </c>
      <c r="AO302" s="37">
        <f>G302*0.117020571</f>
        <v>0</v>
      </c>
      <c r="AP302" s="37">
        <f>G302*(1-0.117020571)</f>
        <v>0</v>
      </c>
      <c r="AQ302" s="68" t="s">
        <v>213</v>
      </c>
      <c r="AV302" s="37">
        <f t="shared" si="284"/>
        <v>0</v>
      </c>
      <c r="AW302" s="37">
        <f t="shared" si="285"/>
        <v>0</v>
      </c>
      <c r="AX302" s="37">
        <f t="shared" si="286"/>
        <v>0</v>
      </c>
      <c r="AY302" s="68" t="s">
        <v>978</v>
      </c>
      <c r="AZ302" s="68" t="s">
        <v>924</v>
      </c>
      <c r="BA302" s="49" t="s">
        <v>220</v>
      </c>
      <c r="BC302" s="37">
        <f t="shared" si="287"/>
        <v>0</v>
      </c>
      <c r="BD302" s="37">
        <f t="shared" si="288"/>
        <v>0</v>
      </c>
      <c r="BE302" s="37">
        <v>0</v>
      </c>
      <c r="BF302" s="37">
        <f>302</f>
        <v>302</v>
      </c>
      <c r="BH302" s="37">
        <f t="shared" si="289"/>
        <v>0</v>
      </c>
      <c r="BI302" s="37">
        <f t="shared" si="290"/>
        <v>0</v>
      </c>
      <c r="BJ302" s="37">
        <f t="shared" si="291"/>
        <v>0</v>
      </c>
      <c r="BK302" s="37"/>
      <c r="BL302" s="37">
        <v>96</v>
      </c>
      <c r="BW302" s="37">
        <v>21</v>
      </c>
      <c r="BX302" s="3" t="s">
        <v>996</v>
      </c>
    </row>
    <row r="303" spans="1:76" x14ac:dyDescent="0.25">
      <c r="A303" s="1" t="s">
        <v>997</v>
      </c>
      <c r="B303" s="2" t="s">
        <v>998</v>
      </c>
      <c r="C303" s="258" t="s">
        <v>999</v>
      </c>
      <c r="D303" s="259"/>
      <c r="E303" s="2" t="s">
        <v>251</v>
      </c>
      <c r="F303" s="37">
        <v>14.052199999999999</v>
      </c>
      <c r="G303" s="66">
        <v>0</v>
      </c>
      <c r="H303" s="37">
        <f t="shared" si="270"/>
        <v>0</v>
      </c>
      <c r="I303" s="37">
        <f t="shared" si="271"/>
        <v>0</v>
      </c>
      <c r="J303" s="37">
        <f t="shared" si="272"/>
        <v>0</v>
      </c>
      <c r="K303" s="67" t="s">
        <v>217</v>
      </c>
      <c r="Z303" s="37">
        <f t="shared" si="273"/>
        <v>0</v>
      </c>
      <c r="AB303" s="37">
        <f t="shared" si="274"/>
        <v>0</v>
      </c>
      <c r="AC303" s="37">
        <f t="shared" si="275"/>
        <v>0</v>
      </c>
      <c r="AD303" s="37">
        <f t="shared" si="276"/>
        <v>0</v>
      </c>
      <c r="AE303" s="37">
        <f t="shared" si="277"/>
        <v>0</v>
      </c>
      <c r="AF303" s="37">
        <f t="shared" si="278"/>
        <v>0</v>
      </c>
      <c r="AG303" s="37">
        <f t="shared" si="279"/>
        <v>0</v>
      </c>
      <c r="AH303" s="37">
        <f t="shared" si="280"/>
        <v>0</v>
      </c>
      <c r="AI303" s="49" t="s">
        <v>89</v>
      </c>
      <c r="AJ303" s="37">
        <f t="shared" si="281"/>
        <v>0</v>
      </c>
      <c r="AK303" s="37">
        <f t="shared" si="282"/>
        <v>0</v>
      </c>
      <c r="AL303" s="37">
        <f t="shared" si="283"/>
        <v>0</v>
      </c>
      <c r="AN303" s="37">
        <v>21</v>
      </c>
      <c r="AO303" s="37">
        <f>G303*0.106029273</f>
        <v>0</v>
      </c>
      <c r="AP303" s="37">
        <f>G303*(1-0.106029273)</f>
        <v>0</v>
      </c>
      <c r="AQ303" s="68" t="s">
        <v>213</v>
      </c>
      <c r="AV303" s="37">
        <f t="shared" si="284"/>
        <v>0</v>
      </c>
      <c r="AW303" s="37">
        <f t="shared" si="285"/>
        <v>0</v>
      </c>
      <c r="AX303" s="37">
        <f t="shared" si="286"/>
        <v>0</v>
      </c>
      <c r="AY303" s="68" t="s">
        <v>978</v>
      </c>
      <c r="AZ303" s="68" t="s">
        <v>924</v>
      </c>
      <c r="BA303" s="49" t="s">
        <v>220</v>
      </c>
      <c r="BC303" s="37">
        <f t="shared" si="287"/>
        <v>0</v>
      </c>
      <c r="BD303" s="37">
        <f t="shared" si="288"/>
        <v>0</v>
      </c>
      <c r="BE303" s="37">
        <v>0</v>
      </c>
      <c r="BF303" s="37">
        <f>303</f>
        <v>303</v>
      </c>
      <c r="BH303" s="37">
        <f t="shared" si="289"/>
        <v>0</v>
      </c>
      <c r="BI303" s="37">
        <f t="shared" si="290"/>
        <v>0</v>
      </c>
      <c r="BJ303" s="37">
        <f t="shared" si="291"/>
        <v>0</v>
      </c>
      <c r="BK303" s="37"/>
      <c r="BL303" s="37">
        <v>96</v>
      </c>
      <c r="BW303" s="37">
        <v>21</v>
      </c>
      <c r="BX303" s="3" t="s">
        <v>999</v>
      </c>
    </row>
    <row r="304" spans="1:76" x14ac:dyDescent="0.25">
      <c r="A304" s="1" t="s">
        <v>1000</v>
      </c>
      <c r="B304" s="2" t="s">
        <v>1001</v>
      </c>
      <c r="C304" s="258" t="s">
        <v>1002</v>
      </c>
      <c r="D304" s="259"/>
      <c r="E304" s="2" t="s">
        <v>266</v>
      </c>
      <c r="F304" s="37">
        <v>4.9435700000000002</v>
      </c>
      <c r="G304" s="66">
        <v>0</v>
      </c>
      <c r="H304" s="37">
        <f t="shared" si="270"/>
        <v>0</v>
      </c>
      <c r="I304" s="37">
        <f t="shared" si="271"/>
        <v>0</v>
      </c>
      <c r="J304" s="37">
        <f t="shared" si="272"/>
        <v>0</v>
      </c>
      <c r="K304" s="67" t="s">
        <v>217</v>
      </c>
      <c r="Z304" s="37">
        <f t="shared" si="273"/>
        <v>0</v>
      </c>
      <c r="AB304" s="37">
        <f t="shared" si="274"/>
        <v>0</v>
      </c>
      <c r="AC304" s="37">
        <f t="shared" si="275"/>
        <v>0</v>
      </c>
      <c r="AD304" s="37">
        <f t="shared" si="276"/>
        <v>0</v>
      </c>
      <c r="AE304" s="37">
        <f t="shared" si="277"/>
        <v>0</v>
      </c>
      <c r="AF304" s="37">
        <f t="shared" si="278"/>
        <v>0</v>
      </c>
      <c r="AG304" s="37">
        <f t="shared" si="279"/>
        <v>0</v>
      </c>
      <c r="AH304" s="37">
        <f t="shared" si="280"/>
        <v>0</v>
      </c>
      <c r="AI304" s="49" t="s">
        <v>89</v>
      </c>
      <c r="AJ304" s="37">
        <f t="shared" si="281"/>
        <v>0</v>
      </c>
      <c r="AK304" s="37">
        <f t="shared" si="282"/>
        <v>0</v>
      </c>
      <c r="AL304" s="37">
        <f t="shared" si="283"/>
        <v>0</v>
      </c>
      <c r="AN304" s="37">
        <v>21</v>
      </c>
      <c r="AO304" s="37">
        <f>G304*0</f>
        <v>0</v>
      </c>
      <c r="AP304" s="37">
        <f>G304*(1-0)</f>
        <v>0</v>
      </c>
      <c r="AQ304" s="68" t="s">
        <v>231</v>
      </c>
      <c r="AV304" s="37">
        <f t="shared" si="284"/>
        <v>0</v>
      </c>
      <c r="AW304" s="37">
        <f t="shared" si="285"/>
        <v>0</v>
      </c>
      <c r="AX304" s="37">
        <f t="shared" si="286"/>
        <v>0</v>
      </c>
      <c r="AY304" s="68" t="s">
        <v>978</v>
      </c>
      <c r="AZ304" s="68" t="s">
        <v>924</v>
      </c>
      <c r="BA304" s="49" t="s">
        <v>220</v>
      </c>
      <c r="BC304" s="37">
        <f t="shared" si="287"/>
        <v>0</v>
      </c>
      <c r="BD304" s="37">
        <f t="shared" si="288"/>
        <v>0</v>
      </c>
      <c r="BE304" s="37">
        <v>0</v>
      </c>
      <c r="BF304" s="37">
        <f>304</f>
        <v>304</v>
      </c>
      <c r="BH304" s="37">
        <f t="shared" si="289"/>
        <v>0</v>
      </c>
      <c r="BI304" s="37">
        <f t="shared" si="290"/>
        <v>0</v>
      </c>
      <c r="BJ304" s="37">
        <f t="shared" si="291"/>
        <v>0</v>
      </c>
      <c r="BK304" s="37"/>
      <c r="BL304" s="37">
        <v>96</v>
      </c>
      <c r="BW304" s="37">
        <v>21</v>
      </c>
      <c r="BX304" s="3" t="s">
        <v>1002</v>
      </c>
    </row>
    <row r="305" spans="1:76" x14ac:dyDescent="0.25">
      <c r="A305" s="1" t="s">
        <v>1003</v>
      </c>
      <c r="B305" s="2" t="s">
        <v>1004</v>
      </c>
      <c r="C305" s="258" t="s">
        <v>1005</v>
      </c>
      <c r="D305" s="259"/>
      <c r="E305" s="2" t="s">
        <v>251</v>
      </c>
      <c r="F305" s="37">
        <v>43.43045</v>
      </c>
      <c r="G305" s="66">
        <v>0</v>
      </c>
      <c r="H305" s="37">
        <f t="shared" si="270"/>
        <v>0</v>
      </c>
      <c r="I305" s="37">
        <f t="shared" si="271"/>
        <v>0</v>
      </c>
      <c r="J305" s="37">
        <f t="shared" si="272"/>
        <v>0</v>
      </c>
      <c r="K305" s="67" t="s">
        <v>217</v>
      </c>
      <c r="Z305" s="37">
        <f t="shared" si="273"/>
        <v>0</v>
      </c>
      <c r="AB305" s="37">
        <f t="shared" si="274"/>
        <v>0</v>
      </c>
      <c r="AC305" s="37">
        <f t="shared" si="275"/>
        <v>0</v>
      </c>
      <c r="AD305" s="37">
        <f t="shared" si="276"/>
        <v>0</v>
      </c>
      <c r="AE305" s="37">
        <f t="shared" si="277"/>
        <v>0</v>
      </c>
      <c r="AF305" s="37">
        <f t="shared" si="278"/>
        <v>0</v>
      </c>
      <c r="AG305" s="37">
        <f t="shared" si="279"/>
        <v>0</v>
      </c>
      <c r="AH305" s="37">
        <f t="shared" si="280"/>
        <v>0</v>
      </c>
      <c r="AI305" s="49" t="s">
        <v>89</v>
      </c>
      <c r="AJ305" s="37">
        <f t="shared" si="281"/>
        <v>0</v>
      </c>
      <c r="AK305" s="37">
        <f t="shared" si="282"/>
        <v>0</v>
      </c>
      <c r="AL305" s="37">
        <f t="shared" si="283"/>
        <v>0</v>
      </c>
      <c r="AN305" s="37">
        <v>21</v>
      </c>
      <c r="AO305" s="37">
        <f>G305*0.133082102</f>
        <v>0</v>
      </c>
      <c r="AP305" s="37">
        <f>G305*(1-0.133082102)</f>
        <v>0</v>
      </c>
      <c r="AQ305" s="68" t="s">
        <v>213</v>
      </c>
      <c r="AV305" s="37">
        <f t="shared" si="284"/>
        <v>0</v>
      </c>
      <c r="AW305" s="37">
        <f t="shared" si="285"/>
        <v>0</v>
      </c>
      <c r="AX305" s="37">
        <f t="shared" si="286"/>
        <v>0</v>
      </c>
      <c r="AY305" s="68" t="s">
        <v>978</v>
      </c>
      <c r="AZ305" s="68" t="s">
        <v>924</v>
      </c>
      <c r="BA305" s="49" t="s">
        <v>220</v>
      </c>
      <c r="BC305" s="37">
        <f t="shared" si="287"/>
        <v>0</v>
      </c>
      <c r="BD305" s="37">
        <f t="shared" si="288"/>
        <v>0</v>
      </c>
      <c r="BE305" s="37">
        <v>0</v>
      </c>
      <c r="BF305" s="37">
        <f>305</f>
        <v>305</v>
      </c>
      <c r="BH305" s="37">
        <f t="shared" si="289"/>
        <v>0</v>
      </c>
      <c r="BI305" s="37">
        <f t="shared" si="290"/>
        <v>0</v>
      </c>
      <c r="BJ305" s="37">
        <f t="shared" si="291"/>
        <v>0</v>
      </c>
      <c r="BK305" s="37"/>
      <c r="BL305" s="37">
        <v>96</v>
      </c>
      <c r="BW305" s="37">
        <v>21</v>
      </c>
      <c r="BX305" s="3" t="s">
        <v>1005</v>
      </c>
    </row>
    <row r="306" spans="1:76" x14ac:dyDescent="0.25">
      <c r="A306" s="1" t="s">
        <v>1006</v>
      </c>
      <c r="B306" s="2" t="s">
        <v>1007</v>
      </c>
      <c r="C306" s="258" t="s">
        <v>1008</v>
      </c>
      <c r="D306" s="259"/>
      <c r="E306" s="2" t="s">
        <v>251</v>
      </c>
      <c r="F306" s="37">
        <v>32.996899999999997</v>
      </c>
      <c r="G306" s="66">
        <v>0</v>
      </c>
      <c r="H306" s="37">
        <f t="shared" si="270"/>
        <v>0</v>
      </c>
      <c r="I306" s="37">
        <f t="shared" si="271"/>
        <v>0</v>
      </c>
      <c r="J306" s="37">
        <f t="shared" si="272"/>
        <v>0</v>
      </c>
      <c r="K306" s="67" t="s">
        <v>217</v>
      </c>
      <c r="Z306" s="37">
        <f t="shared" si="273"/>
        <v>0</v>
      </c>
      <c r="AB306" s="37">
        <f t="shared" si="274"/>
        <v>0</v>
      </c>
      <c r="AC306" s="37">
        <f t="shared" si="275"/>
        <v>0</v>
      </c>
      <c r="AD306" s="37">
        <f t="shared" si="276"/>
        <v>0</v>
      </c>
      <c r="AE306" s="37">
        <f t="shared" si="277"/>
        <v>0</v>
      </c>
      <c r="AF306" s="37">
        <f t="shared" si="278"/>
        <v>0</v>
      </c>
      <c r="AG306" s="37">
        <f t="shared" si="279"/>
        <v>0</v>
      </c>
      <c r="AH306" s="37">
        <f t="shared" si="280"/>
        <v>0</v>
      </c>
      <c r="AI306" s="49" t="s">
        <v>89</v>
      </c>
      <c r="AJ306" s="37">
        <f t="shared" si="281"/>
        <v>0</v>
      </c>
      <c r="AK306" s="37">
        <f t="shared" si="282"/>
        <v>0</v>
      </c>
      <c r="AL306" s="37">
        <f t="shared" si="283"/>
        <v>0</v>
      </c>
      <c r="AN306" s="37">
        <v>21</v>
      </c>
      <c r="AO306" s="37">
        <f>G306*0.099127632</f>
        <v>0</v>
      </c>
      <c r="AP306" s="37">
        <f>G306*(1-0.099127632)</f>
        <v>0</v>
      </c>
      <c r="AQ306" s="68" t="s">
        <v>213</v>
      </c>
      <c r="AV306" s="37">
        <f t="shared" si="284"/>
        <v>0</v>
      </c>
      <c r="AW306" s="37">
        <f t="shared" si="285"/>
        <v>0</v>
      </c>
      <c r="AX306" s="37">
        <f t="shared" si="286"/>
        <v>0</v>
      </c>
      <c r="AY306" s="68" t="s">
        <v>978</v>
      </c>
      <c r="AZ306" s="68" t="s">
        <v>924</v>
      </c>
      <c r="BA306" s="49" t="s">
        <v>220</v>
      </c>
      <c r="BC306" s="37">
        <f t="shared" si="287"/>
        <v>0</v>
      </c>
      <c r="BD306" s="37">
        <f t="shared" si="288"/>
        <v>0</v>
      </c>
      <c r="BE306" s="37">
        <v>0</v>
      </c>
      <c r="BF306" s="37">
        <f>306</f>
        <v>306</v>
      </c>
      <c r="BH306" s="37">
        <f t="shared" si="289"/>
        <v>0</v>
      </c>
      <c r="BI306" s="37">
        <f t="shared" si="290"/>
        <v>0</v>
      </c>
      <c r="BJ306" s="37">
        <f t="shared" si="291"/>
        <v>0</v>
      </c>
      <c r="BK306" s="37"/>
      <c r="BL306" s="37">
        <v>96</v>
      </c>
      <c r="BW306" s="37">
        <v>21</v>
      </c>
      <c r="BX306" s="3" t="s">
        <v>1008</v>
      </c>
    </row>
    <row r="307" spans="1:76" x14ac:dyDescent="0.25">
      <c r="A307" s="1" t="s">
        <v>1009</v>
      </c>
      <c r="B307" s="2" t="s">
        <v>1010</v>
      </c>
      <c r="C307" s="258" t="s">
        <v>1011</v>
      </c>
      <c r="D307" s="259"/>
      <c r="E307" s="2" t="s">
        <v>216</v>
      </c>
      <c r="F307" s="37">
        <v>6.6462000000000003</v>
      </c>
      <c r="G307" s="66">
        <v>0</v>
      </c>
      <c r="H307" s="37">
        <f t="shared" si="270"/>
        <v>0</v>
      </c>
      <c r="I307" s="37">
        <f t="shared" si="271"/>
        <v>0</v>
      </c>
      <c r="J307" s="37">
        <f t="shared" si="272"/>
        <v>0</v>
      </c>
      <c r="K307" s="67" t="s">
        <v>217</v>
      </c>
      <c r="Z307" s="37">
        <f t="shared" si="273"/>
        <v>0</v>
      </c>
      <c r="AB307" s="37">
        <f t="shared" si="274"/>
        <v>0</v>
      </c>
      <c r="AC307" s="37">
        <f t="shared" si="275"/>
        <v>0</v>
      </c>
      <c r="AD307" s="37">
        <f t="shared" si="276"/>
        <v>0</v>
      </c>
      <c r="AE307" s="37">
        <f t="shared" si="277"/>
        <v>0</v>
      </c>
      <c r="AF307" s="37">
        <f t="shared" si="278"/>
        <v>0</v>
      </c>
      <c r="AG307" s="37">
        <f t="shared" si="279"/>
        <v>0</v>
      </c>
      <c r="AH307" s="37">
        <f t="shared" si="280"/>
        <v>0</v>
      </c>
      <c r="AI307" s="49" t="s">
        <v>89</v>
      </c>
      <c r="AJ307" s="37">
        <f t="shared" si="281"/>
        <v>0</v>
      </c>
      <c r="AK307" s="37">
        <f t="shared" si="282"/>
        <v>0</v>
      </c>
      <c r="AL307" s="37">
        <f t="shared" si="283"/>
        <v>0</v>
      </c>
      <c r="AN307" s="37">
        <v>21</v>
      </c>
      <c r="AO307" s="37">
        <f>G307*0.03860248</f>
        <v>0</v>
      </c>
      <c r="AP307" s="37">
        <f>G307*(1-0.03860248)</f>
        <v>0</v>
      </c>
      <c r="AQ307" s="68" t="s">
        <v>213</v>
      </c>
      <c r="AV307" s="37">
        <f t="shared" si="284"/>
        <v>0</v>
      </c>
      <c r="AW307" s="37">
        <f t="shared" si="285"/>
        <v>0</v>
      </c>
      <c r="AX307" s="37">
        <f t="shared" si="286"/>
        <v>0</v>
      </c>
      <c r="AY307" s="68" t="s">
        <v>978</v>
      </c>
      <c r="AZ307" s="68" t="s">
        <v>924</v>
      </c>
      <c r="BA307" s="49" t="s">
        <v>220</v>
      </c>
      <c r="BC307" s="37">
        <f t="shared" si="287"/>
        <v>0</v>
      </c>
      <c r="BD307" s="37">
        <f t="shared" si="288"/>
        <v>0</v>
      </c>
      <c r="BE307" s="37">
        <v>0</v>
      </c>
      <c r="BF307" s="37">
        <f>307</f>
        <v>307</v>
      </c>
      <c r="BH307" s="37">
        <f t="shared" si="289"/>
        <v>0</v>
      </c>
      <c r="BI307" s="37">
        <f t="shared" si="290"/>
        <v>0</v>
      </c>
      <c r="BJ307" s="37">
        <f t="shared" si="291"/>
        <v>0</v>
      </c>
      <c r="BK307" s="37"/>
      <c r="BL307" s="37">
        <v>96</v>
      </c>
      <c r="BW307" s="37">
        <v>21</v>
      </c>
      <c r="BX307" s="3" t="s">
        <v>1011</v>
      </c>
    </row>
    <row r="308" spans="1:76" x14ac:dyDescent="0.25">
      <c r="A308" s="1" t="s">
        <v>1012</v>
      </c>
      <c r="B308" s="2" t="s">
        <v>1013</v>
      </c>
      <c r="C308" s="258" t="s">
        <v>1014</v>
      </c>
      <c r="D308" s="259"/>
      <c r="E308" s="2" t="s">
        <v>313</v>
      </c>
      <c r="F308" s="37">
        <v>3</v>
      </c>
      <c r="G308" s="66">
        <v>0</v>
      </c>
      <c r="H308" s="37">
        <f t="shared" si="270"/>
        <v>0</v>
      </c>
      <c r="I308" s="37">
        <f t="shared" si="271"/>
        <v>0</v>
      </c>
      <c r="J308" s="37">
        <f t="shared" si="272"/>
        <v>0</v>
      </c>
      <c r="K308" s="67" t="s">
        <v>217</v>
      </c>
      <c r="Z308" s="37">
        <f t="shared" si="273"/>
        <v>0</v>
      </c>
      <c r="AB308" s="37">
        <f t="shared" si="274"/>
        <v>0</v>
      </c>
      <c r="AC308" s="37">
        <f t="shared" si="275"/>
        <v>0</v>
      </c>
      <c r="AD308" s="37">
        <f t="shared" si="276"/>
        <v>0</v>
      </c>
      <c r="AE308" s="37">
        <f t="shared" si="277"/>
        <v>0</v>
      </c>
      <c r="AF308" s="37">
        <f t="shared" si="278"/>
        <v>0</v>
      </c>
      <c r="AG308" s="37">
        <f t="shared" si="279"/>
        <v>0</v>
      </c>
      <c r="AH308" s="37">
        <f t="shared" si="280"/>
        <v>0</v>
      </c>
      <c r="AI308" s="49" t="s">
        <v>89</v>
      </c>
      <c r="AJ308" s="37">
        <f t="shared" si="281"/>
        <v>0</v>
      </c>
      <c r="AK308" s="37">
        <f t="shared" si="282"/>
        <v>0</v>
      </c>
      <c r="AL308" s="37">
        <f t="shared" si="283"/>
        <v>0</v>
      </c>
      <c r="AN308" s="37">
        <v>21</v>
      </c>
      <c r="AO308" s="37">
        <f>G308*0.073972885</f>
        <v>0</v>
      </c>
      <c r="AP308" s="37">
        <f>G308*(1-0.073972885)</f>
        <v>0</v>
      </c>
      <c r="AQ308" s="68" t="s">
        <v>213</v>
      </c>
      <c r="AV308" s="37">
        <f t="shared" si="284"/>
        <v>0</v>
      </c>
      <c r="AW308" s="37">
        <f t="shared" si="285"/>
        <v>0</v>
      </c>
      <c r="AX308" s="37">
        <f t="shared" si="286"/>
        <v>0</v>
      </c>
      <c r="AY308" s="68" t="s">
        <v>978</v>
      </c>
      <c r="AZ308" s="68" t="s">
        <v>924</v>
      </c>
      <c r="BA308" s="49" t="s">
        <v>220</v>
      </c>
      <c r="BC308" s="37">
        <f t="shared" si="287"/>
        <v>0</v>
      </c>
      <c r="BD308" s="37">
        <f t="shared" si="288"/>
        <v>0</v>
      </c>
      <c r="BE308" s="37">
        <v>0</v>
      </c>
      <c r="BF308" s="37">
        <f>308</f>
        <v>308</v>
      </c>
      <c r="BH308" s="37">
        <f t="shared" si="289"/>
        <v>0</v>
      </c>
      <c r="BI308" s="37">
        <f t="shared" si="290"/>
        <v>0</v>
      </c>
      <c r="BJ308" s="37">
        <f t="shared" si="291"/>
        <v>0</v>
      </c>
      <c r="BK308" s="37"/>
      <c r="BL308" s="37">
        <v>96</v>
      </c>
      <c r="BW308" s="37">
        <v>21</v>
      </c>
      <c r="BX308" s="3" t="s">
        <v>1014</v>
      </c>
    </row>
    <row r="309" spans="1:76" x14ac:dyDescent="0.25">
      <c r="A309" s="1" t="s">
        <v>1015</v>
      </c>
      <c r="B309" s="2" t="s">
        <v>1016</v>
      </c>
      <c r="C309" s="258" t="s">
        <v>1017</v>
      </c>
      <c r="D309" s="259"/>
      <c r="E309" s="2" t="s">
        <v>309</v>
      </c>
      <c r="F309" s="37">
        <v>4</v>
      </c>
      <c r="G309" s="66">
        <v>0</v>
      </c>
      <c r="H309" s="37">
        <f t="shared" si="270"/>
        <v>0</v>
      </c>
      <c r="I309" s="37">
        <f t="shared" si="271"/>
        <v>0</v>
      </c>
      <c r="J309" s="37">
        <f t="shared" si="272"/>
        <v>0</v>
      </c>
      <c r="K309" s="67" t="s">
        <v>217</v>
      </c>
      <c r="Z309" s="37">
        <f t="shared" si="273"/>
        <v>0</v>
      </c>
      <c r="AB309" s="37">
        <f t="shared" si="274"/>
        <v>0</v>
      </c>
      <c r="AC309" s="37">
        <f t="shared" si="275"/>
        <v>0</v>
      </c>
      <c r="AD309" s="37">
        <f t="shared" si="276"/>
        <v>0</v>
      </c>
      <c r="AE309" s="37">
        <f t="shared" si="277"/>
        <v>0</v>
      </c>
      <c r="AF309" s="37">
        <f t="shared" si="278"/>
        <v>0</v>
      </c>
      <c r="AG309" s="37">
        <f t="shared" si="279"/>
        <v>0</v>
      </c>
      <c r="AH309" s="37">
        <f t="shared" si="280"/>
        <v>0</v>
      </c>
      <c r="AI309" s="49" t="s">
        <v>89</v>
      </c>
      <c r="AJ309" s="37">
        <f t="shared" si="281"/>
        <v>0</v>
      </c>
      <c r="AK309" s="37">
        <f t="shared" si="282"/>
        <v>0</v>
      </c>
      <c r="AL309" s="37">
        <f t="shared" si="283"/>
        <v>0</v>
      </c>
      <c r="AN309" s="37">
        <v>21</v>
      </c>
      <c r="AO309" s="37">
        <f>G309*0.04189781</f>
        <v>0</v>
      </c>
      <c r="AP309" s="37">
        <f>G309*(1-0.04189781)</f>
        <v>0</v>
      </c>
      <c r="AQ309" s="68" t="s">
        <v>213</v>
      </c>
      <c r="AV309" s="37">
        <f t="shared" si="284"/>
        <v>0</v>
      </c>
      <c r="AW309" s="37">
        <f t="shared" si="285"/>
        <v>0</v>
      </c>
      <c r="AX309" s="37">
        <f t="shared" si="286"/>
        <v>0</v>
      </c>
      <c r="AY309" s="68" t="s">
        <v>978</v>
      </c>
      <c r="AZ309" s="68" t="s">
        <v>924</v>
      </c>
      <c r="BA309" s="49" t="s">
        <v>220</v>
      </c>
      <c r="BC309" s="37">
        <f t="shared" si="287"/>
        <v>0</v>
      </c>
      <c r="BD309" s="37">
        <f t="shared" si="288"/>
        <v>0</v>
      </c>
      <c r="BE309" s="37">
        <v>0</v>
      </c>
      <c r="BF309" s="37">
        <f>309</f>
        <v>309</v>
      </c>
      <c r="BH309" s="37">
        <f t="shared" si="289"/>
        <v>0</v>
      </c>
      <c r="BI309" s="37">
        <f t="shared" si="290"/>
        <v>0</v>
      </c>
      <c r="BJ309" s="37">
        <f t="shared" si="291"/>
        <v>0</v>
      </c>
      <c r="BK309" s="37"/>
      <c r="BL309" s="37">
        <v>96</v>
      </c>
      <c r="BW309" s="37">
        <v>21</v>
      </c>
      <c r="BX309" s="3" t="s">
        <v>1017</v>
      </c>
    </row>
    <row r="310" spans="1:76" x14ac:dyDescent="0.25">
      <c r="A310" s="1" t="s">
        <v>1018</v>
      </c>
      <c r="B310" s="2" t="s">
        <v>1019</v>
      </c>
      <c r="C310" s="258" t="s">
        <v>1020</v>
      </c>
      <c r="D310" s="259"/>
      <c r="E310" s="2" t="s">
        <v>313</v>
      </c>
      <c r="F310" s="37">
        <v>0.3</v>
      </c>
      <c r="G310" s="66">
        <v>0</v>
      </c>
      <c r="H310" s="37">
        <f t="shared" si="270"/>
        <v>0</v>
      </c>
      <c r="I310" s="37">
        <f t="shared" si="271"/>
        <v>0</v>
      </c>
      <c r="J310" s="37">
        <f t="shared" si="272"/>
        <v>0</v>
      </c>
      <c r="K310" s="67" t="s">
        <v>217</v>
      </c>
      <c r="Z310" s="37">
        <f t="shared" si="273"/>
        <v>0</v>
      </c>
      <c r="AB310" s="37">
        <f t="shared" si="274"/>
        <v>0</v>
      </c>
      <c r="AC310" s="37">
        <f t="shared" si="275"/>
        <v>0</v>
      </c>
      <c r="AD310" s="37">
        <f t="shared" si="276"/>
        <v>0</v>
      </c>
      <c r="AE310" s="37">
        <f t="shared" si="277"/>
        <v>0</v>
      </c>
      <c r="AF310" s="37">
        <f t="shared" si="278"/>
        <v>0</v>
      </c>
      <c r="AG310" s="37">
        <f t="shared" si="279"/>
        <v>0</v>
      </c>
      <c r="AH310" s="37">
        <f t="shared" si="280"/>
        <v>0</v>
      </c>
      <c r="AI310" s="49" t="s">
        <v>89</v>
      </c>
      <c r="AJ310" s="37">
        <f t="shared" si="281"/>
        <v>0</v>
      </c>
      <c r="AK310" s="37">
        <f t="shared" si="282"/>
        <v>0</v>
      </c>
      <c r="AL310" s="37">
        <f t="shared" si="283"/>
        <v>0</v>
      </c>
      <c r="AN310" s="37">
        <v>21</v>
      </c>
      <c r="AO310" s="37">
        <f>G310*0.320713154</f>
        <v>0</v>
      </c>
      <c r="AP310" s="37">
        <f>G310*(1-0.320713154)</f>
        <v>0</v>
      </c>
      <c r="AQ310" s="68" t="s">
        <v>213</v>
      </c>
      <c r="AV310" s="37">
        <f t="shared" si="284"/>
        <v>0</v>
      </c>
      <c r="AW310" s="37">
        <f t="shared" si="285"/>
        <v>0</v>
      </c>
      <c r="AX310" s="37">
        <f t="shared" si="286"/>
        <v>0</v>
      </c>
      <c r="AY310" s="68" t="s">
        <v>978</v>
      </c>
      <c r="AZ310" s="68" t="s">
        <v>924</v>
      </c>
      <c r="BA310" s="49" t="s">
        <v>220</v>
      </c>
      <c r="BC310" s="37">
        <f t="shared" si="287"/>
        <v>0</v>
      </c>
      <c r="BD310" s="37">
        <f t="shared" si="288"/>
        <v>0</v>
      </c>
      <c r="BE310" s="37">
        <v>0</v>
      </c>
      <c r="BF310" s="37">
        <f>310</f>
        <v>310</v>
      </c>
      <c r="BH310" s="37">
        <f t="shared" si="289"/>
        <v>0</v>
      </c>
      <c r="BI310" s="37">
        <f t="shared" si="290"/>
        <v>0</v>
      </c>
      <c r="BJ310" s="37">
        <f t="shared" si="291"/>
        <v>0</v>
      </c>
      <c r="BK310" s="37"/>
      <c r="BL310" s="37">
        <v>96</v>
      </c>
      <c r="BW310" s="37">
        <v>21</v>
      </c>
      <c r="BX310" s="3" t="s">
        <v>1020</v>
      </c>
    </row>
    <row r="311" spans="1:76" x14ac:dyDescent="0.25">
      <c r="A311" s="1" t="s">
        <v>1021</v>
      </c>
      <c r="B311" s="2" t="s">
        <v>1022</v>
      </c>
      <c r="C311" s="258" t="s">
        <v>1023</v>
      </c>
      <c r="D311" s="259"/>
      <c r="E311" s="2" t="s">
        <v>313</v>
      </c>
      <c r="F311" s="37">
        <v>1.34</v>
      </c>
      <c r="G311" s="66">
        <v>0</v>
      </c>
      <c r="H311" s="37">
        <f t="shared" si="270"/>
        <v>0</v>
      </c>
      <c r="I311" s="37">
        <f t="shared" si="271"/>
        <v>0</v>
      </c>
      <c r="J311" s="37">
        <f t="shared" si="272"/>
        <v>0</v>
      </c>
      <c r="K311" s="67" t="s">
        <v>217</v>
      </c>
      <c r="Z311" s="37">
        <f t="shared" si="273"/>
        <v>0</v>
      </c>
      <c r="AB311" s="37">
        <f t="shared" si="274"/>
        <v>0</v>
      </c>
      <c r="AC311" s="37">
        <f t="shared" si="275"/>
        <v>0</v>
      </c>
      <c r="AD311" s="37">
        <f t="shared" si="276"/>
        <v>0</v>
      </c>
      <c r="AE311" s="37">
        <f t="shared" si="277"/>
        <v>0</v>
      </c>
      <c r="AF311" s="37">
        <f t="shared" si="278"/>
        <v>0</v>
      </c>
      <c r="AG311" s="37">
        <f t="shared" si="279"/>
        <v>0</v>
      </c>
      <c r="AH311" s="37">
        <f t="shared" si="280"/>
        <v>0</v>
      </c>
      <c r="AI311" s="49" t="s">
        <v>89</v>
      </c>
      <c r="AJ311" s="37">
        <f t="shared" si="281"/>
        <v>0</v>
      </c>
      <c r="AK311" s="37">
        <f t="shared" si="282"/>
        <v>0</v>
      </c>
      <c r="AL311" s="37">
        <f t="shared" si="283"/>
        <v>0</v>
      </c>
      <c r="AN311" s="37">
        <v>21</v>
      </c>
      <c r="AO311" s="37">
        <f>G311*0.048480952</f>
        <v>0</v>
      </c>
      <c r="AP311" s="37">
        <f>G311*(1-0.048480952)</f>
        <v>0</v>
      </c>
      <c r="AQ311" s="68" t="s">
        <v>213</v>
      </c>
      <c r="AV311" s="37">
        <f t="shared" si="284"/>
        <v>0</v>
      </c>
      <c r="AW311" s="37">
        <f t="shared" si="285"/>
        <v>0</v>
      </c>
      <c r="AX311" s="37">
        <f t="shared" si="286"/>
        <v>0</v>
      </c>
      <c r="AY311" s="68" t="s">
        <v>978</v>
      </c>
      <c r="AZ311" s="68" t="s">
        <v>924</v>
      </c>
      <c r="BA311" s="49" t="s">
        <v>220</v>
      </c>
      <c r="BC311" s="37">
        <f t="shared" si="287"/>
        <v>0</v>
      </c>
      <c r="BD311" s="37">
        <f t="shared" si="288"/>
        <v>0</v>
      </c>
      <c r="BE311" s="37">
        <v>0</v>
      </c>
      <c r="BF311" s="37">
        <f>311</f>
        <v>311</v>
      </c>
      <c r="BH311" s="37">
        <f t="shared" si="289"/>
        <v>0</v>
      </c>
      <c r="BI311" s="37">
        <f t="shared" si="290"/>
        <v>0</v>
      </c>
      <c r="BJ311" s="37">
        <f t="shared" si="291"/>
        <v>0</v>
      </c>
      <c r="BK311" s="37"/>
      <c r="BL311" s="37">
        <v>96</v>
      </c>
      <c r="BW311" s="37">
        <v>21</v>
      </c>
      <c r="BX311" s="3" t="s">
        <v>1023</v>
      </c>
    </row>
    <row r="312" spans="1:76" x14ac:dyDescent="0.25">
      <c r="A312" s="1" t="s">
        <v>1024</v>
      </c>
      <c r="B312" s="2" t="s">
        <v>1025</v>
      </c>
      <c r="C312" s="258" t="s">
        <v>1026</v>
      </c>
      <c r="D312" s="259"/>
      <c r="E312" s="2" t="s">
        <v>313</v>
      </c>
      <c r="F312" s="37">
        <v>4.8</v>
      </c>
      <c r="G312" s="66">
        <v>0</v>
      </c>
      <c r="H312" s="37">
        <f t="shared" si="270"/>
        <v>0</v>
      </c>
      <c r="I312" s="37">
        <f t="shared" si="271"/>
        <v>0</v>
      </c>
      <c r="J312" s="37">
        <f t="shared" si="272"/>
        <v>0</v>
      </c>
      <c r="K312" s="67" t="s">
        <v>217</v>
      </c>
      <c r="Z312" s="37">
        <f t="shared" si="273"/>
        <v>0</v>
      </c>
      <c r="AB312" s="37">
        <f t="shared" si="274"/>
        <v>0</v>
      </c>
      <c r="AC312" s="37">
        <f t="shared" si="275"/>
        <v>0</v>
      </c>
      <c r="AD312" s="37">
        <f t="shared" si="276"/>
        <v>0</v>
      </c>
      <c r="AE312" s="37">
        <f t="shared" si="277"/>
        <v>0</v>
      </c>
      <c r="AF312" s="37">
        <f t="shared" si="278"/>
        <v>0</v>
      </c>
      <c r="AG312" s="37">
        <f t="shared" si="279"/>
        <v>0</v>
      </c>
      <c r="AH312" s="37">
        <f t="shared" si="280"/>
        <v>0</v>
      </c>
      <c r="AI312" s="49" t="s">
        <v>89</v>
      </c>
      <c r="AJ312" s="37">
        <f t="shared" si="281"/>
        <v>0</v>
      </c>
      <c r="AK312" s="37">
        <f t="shared" si="282"/>
        <v>0</v>
      </c>
      <c r="AL312" s="37">
        <f t="shared" si="283"/>
        <v>0</v>
      </c>
      <c r="AN312" s="37">
        <v>21</v>
      </c>
      <c r="AO312" s="37">
        <f>G312*0.07654524</f>
        <v>0</v>
      </c>
      <c r="AP312" s="37">
        <f>G312*(1-0.07654524)</f>
        <v>0</v>
      </c>
      <c r="AQ312" s="68" t="s">
        <v>213</v>
      </c>
      <c r="AV312" s="37">
        <f t="shared" si="284"/>
        <v>0</v>
      </c>
      <c r="AW312" s="37">
        <f t="shared" si="285"/>
        <v>0</v>
      </c>
      <c r="AX312" s="37">
        <f t="shared" si="286"/>
        <v>0</v>
      </c>
      <c r="AY312" s="68" t="s">
        <v>978</v>
      </c>
      <c r="AZ312" s="68" t="s">
        <v>924</v>
      </c>
      <c r="BA312" s="49" t="s">
        <v>220</v>
      </c>
      <c r="BC312" s="37">
        <f t="shared" si="287"/>
        <v>0</v>
      </c>
      <c r="BD312" s="37">
        <f t="shared" si="288"/>
        <v>0</v>
      </c>
      <c r="BE312" s="37">
        <v>0</v>
      </c>
      <c r="BF312" s="37">
        <f>312</f>
        <v>312</v>
      </c>
      <c r="BH312" s="37">
        <f t="shared" si="289"/>
        <v>0</v>
      </c>
      <c r="BI312" s="37">
        <f t="shared" si="290"/>
        <v>0</v>
      </c>
      <c r="BJ312" s="37">
        <f t="shared" si="291"/>
        <v>0</v>
      </c>
      <c r="BK312" s="37"/>
      <c r="BL312" s="37">
        <v>96</v>
      </c>
      <c r="BW312" s="37">
        <v>21</v>
      </c>
      <c r="BX312" s="3" t="s">
        <v>1026</v>
      </c>
    </row>
    <row r="313" spans="1:76" x14ac:dyDescent="0.25">
      <c r="A313" s="1" t="s">
        <v>1027</v>
      </c>
      <c r="B313" s="2" t="s">
        <v>1028</v>
      </c>
      <c r="C313" s="258" t="s">
        <v>1029</v>
      </c>
      <c r="D313" s="259"/>
      <c r="E313" s="2" t="s">
        <v>266</v>
      </c>
      <c r="F313" s="37">
        <v>30.899229999999999</v>
      </c>
      <c r="G313" s="66">
        <v>0</v>
      </c>
      <c r="H313" s="37">
        <f t="shared" si="270"/>
        <v>0</v>
      </c>
      <c r="I313" s="37">
        <f t="shared" si="271"/>
        <v>0</v>
      </c>
      <c r="J313" s="37">
        <f t="shared" si="272"/>
        <v>0</v>
      </c>
      <c r="K313" s="67" t="s">
        <v>217</v>
      </c>
      <c r="Z313" s="37">
        <f t="shared" si="273"/>
        <v>0</v>
      </c>
      <c r="AB313" s="37">
        <f t="shared" si="274"/>
        <v>0</v>
      </c>
      <c r="AC313" s="37">
        <f t="shared" si="275"/>
        <v>0</v>
      </c>
      <c r="AD313" s="37">
        <f t="shared" si="276"/>
        <v>0</v>
      </c>
      <c r="AE313" s="37">
        <f t="shared" si="277"/>
        <v>0</v>
      </c>
      <c r="AF313" s="37">
        <f t="shared" si="278"/>
        <v>0</v>
      </c>
      <c r="AG313" s="37">
        <f t="shared" si="279"/>
        <v>0</v>
      </c>
      <c r="AH313" s="37">
        <f t="shared" si="280"/>
        <v>0</v>
      </c>
      <c r="AI313" s="49" t="s">
        <v>89</v>
      </c>
      <c r="AJ313" s="37">
        <f t="shared" si="281"/>
        <v>0</v>
      </c>
      <c r="AK313" s="37">
        <f t="shared" si="282"/>
        <v>0</v>
      </c>
      <c r="AL313" s="37">
        <f t="shared" si="283"/>
        <v>0</v>
      </c>
      <c r="AN313" s="37">
        <v>21</v>
      </c>
      <c r="AO313" s="37">
        <f t="shared" ref="AO313:AO321" si="292">G313*0</f>
        <v>0</v>
      </c>
      <c r="AP313" s="37">
        <f t="shared" ref="AP313:AP321" si="293">G313*(1-0)</f>
        <v>0</v>
      </c>
      <c r="AQ313" s="68" t="s">
        <v>231</v>
      </c>
      <c r="AV313" s="37">
        <f t="shared" si="284"/>
        <v>0</v>
      </c>
      <c r="AW313" s="37">
        <f t="shared" si="285"/>
        <v>0</v>
      </c>
      <c r="AX313" s="37">
        <f t="shared" si="286"/>
        <v>0</v>
      </c>
      <c r="AY313" s="68" t="s">
        <v>978</v>
      </c>
      <c r="AZ313" s="68" t="s">
        <v>924</v>
      </c>
      <c r="BA313" s="49" t="s">
        <v>220</v>
      </c>
      <c r="BC313" s="37">
        <f t="shared" si="287"/>
        <v>0</v>
      </c>
      <c r="BD313" s="37">
        <f t="shared" si="288"/>
        <v>0</v>
      </c>
      <c r="BE313" s="37">
        <v>0</v>
      </c>
      <c r="BF313" s="37">
        <f>313</f>
        <v>313</v>
      </c>
      <c r="BH313" s="37">
        <f t="shared" si="289"/>
        <v>0</v>
      </c>
      <c r="BI313" s="37">
        <f t="shared" si="290"/>
        <v>0</v>
      </c>
      <c r="BJ313" s="37">
        <f t="shared" si="291"/>
        <v>0</v>
      </c>
      <c r="BK313" s="37"/>
      <c r="BL313" s="37">
        <v>96</v>
      </c>
      <c r="BW313" s="37">
        <v>21</v>
      </c>
      <c r="BX313" s="3" t="s">
        <v>1029</v>
      </c>
    </row>
    <row r="314" spans="1:76" x14ac:dyDescent="0.25">
      <c r="A314" s="1" t="s">
        <v>1030</v>
      </c>
      <c r="B314" s="2" t="s">
        <v>1031</v>
      </c>
      <c r="C314" s="258" t="s">
        <v>1032</v>
      </c>
      <c r="D314" s="259"/>
      <c r="E314" s="2" t="s">
        <v>251</v>
      </c>
      <c r="F314" s="37">
        <v>15.96</v>
      </c>
      <c r="G314" s="66">
        <v>0</v>
      </c>
      <c r="H314" s="37">
        <f t="shared" si="270"/>
        <v>0</v>
      </c>
      <c r="I314" s="37">
        <f t="shared" si="271"/>
        <v>0</v>
      </c>
      <c r="J314" s="37">
        <f t="shared" si="272"/>
        <v>0</v>
      </c>
      <c r="K314" s="67" t="s">
        <v>217</v>
      </c>
      <c r="Z314" s="37">
        <f t="shared" si="273"/>
        <v>0</v>
      </c>
      <c r="AB314" s="37">
        <f t="shared" si="274"/>
        <v>0</v>
      </c>
      <c r="AC314" s="37">
        <f t="shared" si="275"/>
        <v>0</v>
      </c>
      <c r="AD314" s="37">
        <f t="shared" si="276"/>
        <v>0</v>
      </c>
      <c r="AE314" s="37">
        <f t="shared" si="277"/>
        <v>0</v>
      </c>
      <c r="AF314" s="37">
        <f t="shared" si="278"/>
        <v>0</v>
      </c>
      <c r="AG314" s="37">
        <f t="shared" si="279"/>
        <v>0</v>
      </c>
      <c r="AH314" s="37">
        <f t="shared" si="280"/>
        <v>0</v>
      </c>
      <c r="AI314" s="49" t="s">
        <v>89</v>
      </c>
      <c r="AJ314" s="37">
        <f t="shared" si="281"/>
        <v>0</v>
      </c>
      <c r="AK314" s="37">
        <f t="shared" si="282"/>
        <v>0</v>
      </c>
      <c r="AL314" s="37">
        <f t="shared" si="283"/>
        <v>0</v>
      </c>
      <c r="AN314" s="37">
        <v>21</v>
      </c>
      <c r="AO314" s="37">
        <f t="shared" si="292"/>
        <v>0</v>
      </c>
      <c r="AP314" s="37">
        <f t="shared" si="293"/>
        <v>0</v>
      </c>
      <c r="AQ314" s="68" t="s">
        <v>213</v>
      </c>
      <c r="AV314" s="37">
        <f t="shared" si="284"/>
        <v>0</v>
      </c>
      <c r="AW314" s="37">
        <f t="shared" si="285"/>
        <v>0</v>
      </c>
      <c r="AX314" s="37">
        <f t="shared" si="286"/>
        <v>0</v>
      </c>
      <c r="AY314" s="68" t="s">
        <v>978</v>
      </c>
      <c r="AZ314" s="68" t="s">
        <v>924</v>
      </c>
      <c r="BA314" s="49" t="s">
        <v>220</v>
      </c>
      <c r="BC314" s="37">
        <f t="shared" si="287"/>
        <v>0</v>
      </c>
      <c r="BD314" s="37">
        <f t="shared" si="288"/>
        <v>0</v>
      </c>
      <c r="BE314" s="37">
        <v>0</v>
      </c>
      <c r="BF314" s="37">
        <f>314</f>
        <v>314</v>
      </c>
      <c r="BH314" s="37">
        <f t="shared" si="289"/>
        <v>0</v>
      </c>
      <c r="BI314" s="37">
        <f t="shared" si="290"/>
        <v>0</v>
      </c>
      <c r="BJ314" s="37">
        <f t="shared" si="291"/>
        <v>0</v>
      </c>
      <c r="BK314" s="37"/>
      <c r="BL314" s="37">
        <v>96</v>
      </c>
      <c r="BW314" s="37">
        <v>21</v>
      </c>
      <c r="BX314" s="3" t="s">
        <v>1032</v>
      </c>
    </row>
    <row r="315" spans="1:76" x14ac:dyDescent="0.25">
      <c r="A315" s="1" t="s">
        <v>1033</v>
      </c>
      <c r="B315" s="2" t="s">
        <v>1034</v>
      </c>
      <c r="C315" s="258" t="s">
        <v>1035</v>
      </c>
      <c r="D315" s="259"/>
      <c r="E315" s="2" t="s">
        <v>251</v>
      </c>
      <c r="F315" s="37">
        <v>6</v>
      </c>
      <c r="G315" s="66">
        <v>0</v>
      </c>
      <c r="H315" s="37">
        <f t="shared" si="270"/>
        <v>0</v>
      </c>
      <c r="I315" s="37">
        <f t="shared" si="271"/>
        <v>0</v>
      </c>
      <c r="J315" s="37">
        <f t="shared" si="272"/>
        <v>0</v>
      </c>
      <c r="K315" s="67" t="s">
        <v>217</v>
      </c>
      <c r="Z315" s="37">
        <f t="shared" si="273"/>
        <v>0</v>
      </c>
      <c r="AB315" s="37">
        <f t="shared" si="274"/>
        <v>0</v>
      </c>
      <c r="AC315" s="37">
        <f t="shared" si="275"/>
        <v>0</v>
      </c>
      <c r="AD315" s="37">
        <f t="shared" si="276"/>
        <v>0</v>
      </c>
      <c r="AE315" s="37">
        <f t="shared" si="277"/>
        <v>0</v>
      </c>
      <c r="AF315" s="37">
        <f t="shared" si="278"/>
        <v>0</v>
      </c>
      <c r="AG315" s="37">
        <f t="shared" si="279"/>
        <v>0</v>
      </c>
      <c r="AH315" s="37">
        <f t="shared" si="280"/>
        <v>0</v>
      </c>
      <c r="AI315" s="49" t="s">
        <v>89</v>
      </c>
      <c r="AJ315" s="37">
        <f t="shared" si="281"/>
        <v>0</v>
      </c>
      <c r="AK315" s="37">
        <f t="shared" si="282"/>
        <v>0</v>
      </c>
      <c r="AL315" s="37">
        <f t="shared" si="283"/>
        <v>0</v>
      </c>
      <c r="AN315" s="37">
        <v>21</v>
      </c>
      <c r="AO315" s="37">
        <f t="shared" si="292"/>
        <v>0</v>
      </c>
      <c r="AP315" s="37">
        <f t="shared" si="293"/>
        <v>0</v>
      </c>
      <c r="AQ315" s="68" t="s">
        <v>213</v>
      </c>
      <c r="AV315" s="37">
        <f t="shared" si="284"/>
        <v>0</v>
      </c>
      <c r="AW315" s="37">
        <f t="shared" si="285"/>
        <v>0</v>
      </c>
      <c r="AX315" s="37">
        <f t="shared" si="286"/>
        <v>0</v>
      </c>
      <c r="AY315" s="68" t="s">
        <v>978</v>
      </c>
      <c r="AZ315" s="68" t="s">
        <v>924</v>
      </c>
      <c r="BA315" s="49" t="s">
        <v>220</v>
      </c>
      <c r="BC315" s="37">
        <f t="shared" si="287"/>
        <v>0</v>
      </c>
      <c r="BD315" s="37">
        <f t="shared" si="288"/>
        <v>0</v>
      </c>
      <c r="BE315" s="37">
        <v>0</v>
      </c>
      <c r="BF315" s="37">
        <f>315</f>
        <v>315</v>
      </c>
      <c r="BH315" s="37">
        <f t="shared" si="289"/>
        <v>0</v>
      </c>
      <c r="BI315" s="37">
        <f t="shared" si="290"/>
        <v>0</v>
      </c>
      <c r="BJ315" s="37">
        <f t="shared" si="291"/>
        <v>0</v>
      </c>
      <c r="BK315" s="37"/>
      <c r="BL315" s="37">
        <v>96</v>
      </c>
      <c r="BW315" s="37">
        <v>21</v>
      </c>
      <c r="BX315" s="3" t="s">
        <v>1035</v>
      </c>
    </row>
    <row r="316" spans="1:76" x14ac:dyDescent="0.25">
      <c r="A316" s="1" t="s">
        <v>1036</v>
      </c>
      <c r="B316" s="2" t="s">
        <v>1037</v>
      </c>
      <c r="C316" s="258" t="s">
        <v>1038</v>
      </c>
      <c r="D316" s="259"/>
      <c r="E316" s="2" t="s">
        <v>251</v>
      </c>
      <c r="F316" s="37">
        <v>15.96</v>
      </c>
      <c r="G316" s="66">
        <v>0</v>
      </c>
      <c r="H316" s="37">
        <f t="shared" si="270"/>
        <v>0</v>
      </c>
      <c r="I316" s="37">
        <f t="shared" si="271"/>
        <v>0</v>
      </c>
      <c r="J316" s="37">
        <f t="shared" si="272"/>
        <v>0</v>
      </c>
      <c r="K316" s="67" t="s">
        <v>327</v>
      </c>
      <c r="Z316" s="37">
        <f t="shared" si="273"/>
        <v>0</v>
      </c>
      <c r="AB316" s="37">
        <f t="shared" si="274"/>
        <v>0</v>
      </c>
      <c r="AC316" s="37">
        <f t="shared" si="275"/>
        <v>0</v>
      </c>
      <c r="AD316" s="37">
        <f t="shared" si="276"/>
        <v>0</v>
      </c>
      <c r="AE316" s="37">
        <f t="shared" si="277"/>
        <v>0</v>
      </c>
      <c r="AF316" s="37">
        <f t="shared" si="278"/>
        <v>0</v>
      </c>
      <c r="AG316" s="37">
        <f t="shared" si="279"/>
        <v>0</v>
      </c>
      <c r="AH316" s="37">
        <f t="shared" si="280"/>
        <v>0</v>
      </c>
      <c r="AI316" s="49" t="s">
        <v>89</v>
      </c>
      <c r="AJ316" s="37">
        <f t="shared" si="281"/>
        <v>0</v>
      </c>
      <c r="AK316" s="37">
        <f t="shared" si="282"/>
        <v>0</v>
      </c>
      <c r="AL316" s="37">
        <f t="shared" si="283"/>
        <v>0</v>
      </c>
      <c r="AN316" s="37">
        <v>21</v>
      </c>
      <c r="AO316" s="37">
        <f t="shared" si="292"/>
        <v>0</v>
      </c>
      <c r="AP316" s="37">
        <f t="shared" si="293"/>
        <v>0</v>
      </c>
      <c r="AQ316" s="68" t="s">
        <v>213</v>
      </c>
      <c r="AV316" s="37">
        <f t="shared" si="284"/>
        <v>0</v>
      </c>
      <c r="AW316" s="37">
        <f t="shared" si="285"/>
        <v>0</v>
      </c>
      <c r="AX316" s="37">
        <f t="shared" si="286"/>
        <v>0</v>
      </c>
      <c r="AY316" s="68" t="s">
        <v>978</v>
      </c>
      <c r="AZ316" s="68" t="s">
        <v>924</v>
      </c>
      <c r="BA316" s="49" t="s">
        <v>220</v>
      </c>
      <c r="BC316" s="37">
        <f t="shared" si="287"/>
        <v>0</v>
      </c>
      <c r="BD316" s="37">
        <f t="shared" si="288"/>
        <v>0</v>
      </c>
      <c r="BE316" s="37">
        <v>0</v>
      </c>
      <c r="BF316" s="37">
        <f>316</f>
        <v>316</v>
      </c>
      <c r="BH316" s="37">
        <f t="shared" si="289"/>
        <v>0</v>
      </c>
      <c r="BI316" s="37">
        <f t="shared" si="290"/>
        <v>0</v>
      </c>
      <c r="BJ316" s="37">
        <f t="shared" si="291"/>
        <v>0</v>
      </c>
      <c r="BK316" s="37"/>
      <c r="BL316" s="37">
        <v>96</v>
      </c>
      <c r="BW316" s="37">
        <v>21</v>
      </c>
      <c r="BX316" s="3" t="s">
        <v>1038</v>
      </c>
    </row>
    <row r="317" spans="1:76" x14ac:dyDescent="0.25">
      <c r="A317" s="1" t="s">
        <v>1039</v>
      </c>
      <c r="B317" s="2" t="s">
        <v>1040</v>
      </c>
      <c r="C317" s="258" t="s">
        <v>1041</v>
      </c>
      <c r="D317" s="259"/>
      <c r="E317" s="2" t="s">
        <v>309</v>
      </c>
      <c r="F317" s="37">
        <v>3</v>
      </c>
      <c r="G317" s="66">
        <v>0</v>
      </c>
      <c r="H317" s="37">
        <f t="shared" si="270"/>
        <v>0</v>
      </c>
      <c r="I317" s="37">
        <f t="shared" si="271"/>
        <v>0</v>
      </c>
      <c r="J317" s="37">
        <f t="shared" si="272"/>
        <v>0</v>
      </c>
      <c r="K317" s="67" t="s">
        <v>217</v>
      </c>
      <c r="Z317" s="37">
        <f t="shared" si="273"/>
        <v>0</v>
      </c>
      <c r="AB317" s="37">
        <f t="shared" si="274"/>
        <v>0</v>
      </c>
      <c r="AC317" s="37">
        <f t="shared" si="275"/>
        <v>0</v>
      </c>
      <c r="AD317" s="37">
        <f t="shared" si="276"/>
        <v>0</v>
      </c>
      <c r="AE317" s="37">
        <f t="shared" si="277"/>
        <v>0</v>
      </c>
      <c r="AF317" s="37">
        <f t="shared" si="278"/>
        <v>0</v>
      </c>
      <c r="AG317" s="37">
        <f t="shared" si="279"/>
        <v>0</v>
      </c>
      <c r="AH317" s="37">
        <f t="shared" si="280"/>
        <v>0</v>
      </c>
      <c r="AI317" s="49" t="s">
        <v>89</v>
      </c>
      <c r="AJ317" s="37">
        <f t="shared" si="281"/>
        <v>0</v>
      </c>
      <c r="AK317" s="37">
        <f t="shared" si="282"/>
        <v>0</v>
      </c>
      <c r="AL317" s="37">
        <f t="shared" si="283"/>
        <v>0</v>
      </c>
      <c r="AN317" s="37">
        <v>21</v>
      </c>
      <c r="AO317" s="37">
        <f t="shared" si="292"/>
        <v>0</v>
      </c>
      <c r="AP317" s="37">
        <f t="shared" si="293"/>
        <v>0</v>
      </c>
      <c r="AQ317" s="68" t="s">
        <v>213</v>
      </c>
      <c r="AV317" s="37">
        <f t="shared" si="284"/>
        <v>0</v>
      </c>
      <c r="AW317" s="37">
        <f t="shared" si="285"/>
        <v>0</v>
      </c>
      <c r="AX317" s="37">
        <f t="shared" si="286"/>
        <v>0</v>
      </c>
      <c r="AY317" s="68" t="s">
        <v>978</v>
      </c>
      <c r="AZ317" s="68" t="s">
        <v>924</v>
      </c>
      <c r="BA317" s="49" t="s">
        <v>220</v>
      </c>
      <c r="BC317" s="37">
        <f t="shared" si="287"/>
        <v>0</v>
      </c>
      <c r="BD317" s="37">
        <f t="shared" si="288"/>
        <v>0</v>
      </c>
      <c r="BE317" s="37">
        <v>0</v>
      </c>
      <c r="BF317" s="37">
        <f>317</f>
        <v>317</v>
      </c>
      <c r="BH317" s="37">
        <f t="shared" si="289"/>
        <v>0</v>
      </c>
      <c r="BI317" s="37">
        <f t="shared" si="290"/>
        <v>0</v>
      </c>
      <c r="BJ317" s="37">
        <f t="shared" si="291"/>
        <v>0</v>
      </c>
      <c r="BK317" s="37"/>
      <c r="BL317" s="37">
        <v>96</v>
      </c>
      <c r="BW317" s="37">
        <v>21</v>
      </c>
      <c r="BX317" s="3" t="s">
        <v>1041</v>
      </c>
    </row>
    <row r="318" spans="1:76" x14ac:dyDescent="0.25">
      <c r="A318" s="1" t="s">
        <v>1042</v>
      </c>
      <c r="B318" s="2" t="s">
        <v>1043</v>
      </c>
      <c r="C318" s="258" t="s">
        <v>1044</v>
      </c>
      <c r="D318" s="259"/>
      <c r="E318" s="2" t="s">
        <v>504</v>
      </c>
      <c r="F318" s="37">
        <v>1</v>
      </c>
      <c r="G318" s="66">
        <v>0</v>
      </c>
      <c r="H318" s="37">
        <f t="shared" si="270"/>
        <v>0</v>
      </c>
      <c r="I318" s="37">
        <f t="shared" si="271"/>
        <v>0</v>
      </c>
      <c r="J318" s="37">
        <f t="shared" si="272"/>
        <v>0</v>
      </c>
      <c r="K318" s="67" t="s">
        <v>217</v>
      </c>
      <c r="Z318" s="37">
        <f t="shared" si="273"/>
        <v>0</v>
      </c>
      <c r="AB318" s="37">
        <f t="shared" si="274"/>
        <v>0</v>
      </c>
      <c r="AC318" s="37">
        <f t="shared" si="275"/>
        <v>0</v>
      </c>
      <c r="AD318" s="37">
        <f t="shared" si="276"/>
        <v>0</v>
      </c>
      <c r="AE318" s="37">
        <f t="shared" si="277"/>
        <v>0</v>
      </c>
      <c r="AF318" s="37">
        <f t="shared" si="278"/>
        <v>0</v>
      </c>
      <c r="AG318" s="37">
        <f t="shared" si="279"/>
        <v>0</v>
      </c>
      <c r="AH318" s="37">
        <f t="shared" si="280"/>
        <v>0</v>
      </c>
      <c r="AI318" s="49" t="s">
        <v>89</v>
      </c>
      <c r="AJ318" s="37">
        <f t="shared" si="281"/>
        <v>0</v>
      </c>
      <c r="AK318" s="37">
        <f t="shared" si="282"/>
        <v>0</v>
      </c>
      <c r="AL318" s="37">
        <f t="shared" si="283"/>
        <v>0</v>
      </c>
      <c r="AN318" s="37">
        <v>21</v>
      </c>
      <c r="AO318" s="37">
        <f t="shared" si="292"/>
        <v>0</v>
      </c>
      <c r="AP318" s="37">
        <f t="shared" si="293"/>
        <v>0</v>
      </c>
      <c r="AQ318" s="68" t="s">
        <v>213</v>
      </c>
      <c r="AV318" s="37">
        <f t="shared" si="284"/>
        <v>0</v>
      </c>
      <c r="AW318" s="37">
        <f t="shared" si="285"/>
        <v>0</v>
      </c>
      <c r="AX318" s="37">
        <f t="shared" si="286"/>
        <v>0</v>
      </c>
      <c r="AY318" s="68" t="s">
        <v>978</v>
      </c>
      <c r="AZ318" s="68" t="s">
        <v>924</v>
      </c>
      <c r="BA318" s="49" t="s">
        <v>220</v>
      </c>
      <c r="BC318" s="37">
        <f t="shared" si="287"/>
        <v>0</v>
      </c>
      <c r="BD318" s="37">
        <f t="shared" si="288"/>
        <v>0</v>
      </c>
      <c r="BE318" s="37">
        <v>0</v>
      </c>
      <c r="BF318" s="37">
        <f>318</f>
        <v>318</v>
      </c>
      <c r="BH318" s="37">
        <f t="shared" si="289"/>
        <v>0</v>
      </c>
      <c r="BI318" s="37">
        <f t="shared" si="290"/>
        <v>0</v>
      </c>
      <c r="BJ318" s="37">
        <f t="shared" si="291"/>
        <v>0</v>
      </c>
      <c r="BK318" s="37"/>
      <c r="BL318" s="37">
        <v>96</v>
      </c>
      <c r="BW318" s="37">
        <v>21</v>
      </c>
      <c r="BX318" s="3" t="s">
        <v>1044</v>
      </c>
    </row>
    <row r="319" spans="1:76" x14ac:dyDescent="0.25">
      <c r="A319" s="1" t="s">
        <v>1045</v>
      </c>
      <c r="B319" s="2" t="s">
        <v>1046</v>
      </c>
      <c r="C319" s="258" t="s">
        <v>1047</v>
      </c>
      <c r="D319" s="259"/>
      <c r="E319" s="2" t="s">
        <v>309</v>
      </c>
      <c r="F319" s="37">
        <v>4</v>
      </c>
      <c r="G319" s="66">
        <v>0</v>
      </c>
      <c r="H319" s="37">
        <f t="shared" si="270"/>
        <v>0</v>
      </c>
      <c r="I319" s="37">
        <f t="shared" si="271"/>
        <v>0</v>
      </c>
      <c r="J319" s="37">
        <f t="shared" si="272"/>
        <v>0</v>
      </c>
      <c r="K319" s="67" t="s">
        <v>217</v>
      </c>
      <c r="Z319" s="37">
        <f t="shared" si="273"/>
        <v>0</v>
      </c>
      <c r="AB319" s="37">
        <f t="shared" si="274"/>
        <v>0</v>
      </c>
      <c r="AC319" s="37">
        <f t="shared" si="275"/>
        <v>0</v>
      </c>
      <c r="AD319" s="37">
        <f t="shared" si="276"/>
        <v>0</v>
      </c>
      <c r="AE319" s="37">
        <f t="shared" si="277"/>
        <v>0</v>
      </c>
      <c r="AF319" s="37">
        <f t="shared" si="278"/>
        <v>0</v>
      </c>
      <c r="AG319" s="37">
        <f t="shared" si="279"/>
        <v>0</v>
      </c>
      <c r="AH319" s="37">
        <f t="shared" si="280"/>
        <v>0</v>
      </c>
      <c r="AI319" s="49" t="s">
        <v>89</v>
      </c>
      <c r="AJ319" s="37">
        <f t="shared" si="281"/>
        <v>0</v>
      </c>
      <c r="AK319" s="37">
        <f t="shared" si="282"/>
        <v>0</v>
      </c>
      <c r="AL319" s="37">
        <f t="shared" si="283"/>
        <v>0</v>
      </c>
      <c r="AN319" s="37">
        <v>21</v>
      </c>
      <c r="AO319" s="37">
        <f t="shared" si="292"/>
        <v>0</v>
      </c>
      <c r="AP319" s="37">
        <f t="shared" si="293"/>
        <v>0</v>
      </c>
      <c r="AQ319" s="68" t="s">
        <v>213</v>
      </c>
      <c r="AV319" s="37">
        <f t="shared" si="284"/>
        <v>0</v>
      </c>
      <c r="AW319" s="37">
        <f t="shared" si="285"/>
        <v>0</v>
      </c>
      <c r="AX319" s="37">
        <f t="shared" si="286"/>
        <v>0</v>
      </c>
      <c r="AY319" s="68" t="s">
        <v>978</v>
      </c>
      <c r="AZ319" s="68" t="s">
        <v>924</v>
      </c>
      <c r="BA319" s="49" t="s">
        <v>220</v>
      </c>
      <c r="BC319" s="37">
        <f t="shared" si="287"/>
        <v>0</v>
      </c>
      <c r="BD319" s="37">
        <f t="shared" si="288"/>
        <v>0</v>
      </c>
      <c r="BE319" s="37">
        <v>0</v>
      </c>
      <c r="BF319" s="37">
        <f>319</f>
        <v>319</v>
      </c>
      <c r="BH319" s="37">
        <f t="shared" si="289"/>
        <v>0</v>
      </c>
      <c r="BI319" s="37">
        <f t="shared" si="290"/>
        <v>0</v>
      </c>
      <c r="BJ319" s="37">
        <f t="shared" si="291"/>
        <v>0</v>
      </c>
      <c r="BK319" s="37"/>
      <c r="BL319" s="37">
        <v>96</v>
      </c>
      <c r="BW319" s="37">
        <v>21</v>
      </c>
      <c r="BX319" s="3" t="s">
        <v>1047</v>
      </c>
    </row>
    <row r="320" spans="1:76" x14ac:dyDescent="0.25">
      <c r="A320" s="1" t="s">
        <v>1048</v>
      </c>
      <c r="B320" s="2" t="s">
        <v>1049</v>
      </c>
      <c r="C320" s="258" t="s">
        <v>1050</v>
      </c>
      <c r="D320" s="259"/>
      <c r="E320" s="2" t="s">
        <v>266</v>
      </c>
      <c r="F320" s="37">
        <v>1.0158799999999999</v>
      </c>
      <c r="G320" s="66">
        <v>0</v>
      </c>
      <c r="H320" s="37">
        <f t="shared" si="270"/>
        <v>0</v>
      </c>
      <c r="I320" s="37">
        <f t="shared" si="271"/>
        <v>0</v>
      </c>
      <c r="J320" s="37">
        <f t="shared" si="272"/>
        <v>0</v>
      </c>
      <c r="K320" s="67" t="s">
        <v>217</v>
      </c>
      <c r="Z320" s="37">
        <f t="shared" si="273"/>
        <v>0</v>
      </c>
      <c r="AB320" s="37">
        <f t="shared" si="274"/>
        <v>0</v>
      </c>
      <c r="AC320" s="37">
        <f t="shared" si="275"/>
        <v>0</v>
      </c>
      <c r="AD320" s="37">
        <f t="shared" si="276"/>
        <v>0</v>
      </c>
      <c r="AE320" s="37">
        <f t="shared" si="277"/>
        <v>0</v>
      </c>
      <c r="AF320" s="37">
        <f t="shared" si="278"/>
        <v>0</v>
      </c>
      <c r="AG320" s="37">
        <f t="shared" si="279"/>
        <v>0</v>
      </c>
      <c r="AH320" s="37">
        <f t="shared" si="280"/>
        <v>0</v>
      </c>
      <c r="AI320" s="49" t="s">
        <v>89</v>
      </c>
      <c r="AJ320" s="37">
        <f t="shared" si="281"/>
        <v>0</v>
      </c>
      <c r="AK320" s="37">
        <f t="shared" si="282"/>
        <v>0</v>
      </c>
      <c r="AL320" s="37">
        <f t="shared" si="283"/>
        <v>0</v>
      </c>
      <c r="AN320" s="37">
        <v>21</v>
      </c>
      <c r="AO320" s="37">
        <f t="shared" si="292"/>
        <v>0</v>
      </c>
      <c r="AP320" s="37">
        <f t="shared" si="293"/>
        <v>0</v>
      </c>
      <c r="AQ320" s="68" t="s">
        <v>231</v>
      </c>
      <c r="AV320" s="37">
        <f t="shared" si="284"/>
        <v>0</v>
      </c>
      <c r="AW320" s="37">
        <f t="shared" si="285"/>
        <v>0</v>
      </c>
      <c r="AX320" s="37">
        <f t="shared" si="286"/>
        <v>0</v>
      </c>
      <c r="AY320" s="68" t="s">
        <v>978</v>
      </c>
      <c r="AZ320" s="68" t="s">
        <v>924</v>
      </c>
      <c r="BA320" s="49" t="s">
        <v>220</v>
      </c>
      <c r="BC320" s="37">
        <f t="shared" si="287"/>
        <v>0</v>
      </c>
      <c r="BD320" s="37">
        <f t="shared" si="288"/>
        <v>0</v>
      </c>
      <c r="BE320" s="37">
        <v>0</v>
      </c>
      <c r="BF320" s="37">
        <f>320</f>
        <v>320</v>
      </c>
      <c r="BH320" s="37">
        <f t="shared" si="289"/>
        <v>0</v>
      </c>
      <c r="BI320" s="37">
        <f t="shared" si="290"/>
        <v>0</v>
      </c>
      <c r="BJ320" s="37">
        <f t="shared" si="291"/>
        <v>0</v>
      </c>
      <c r="BK320" s="37"/>
      <c r="BL320" s="37">
        <v>96</v>
      </c>
      <c r="BW320" s="37">
        <v>21</v>
      </c>
      <c r="BX320" s="3" t="s">
        <v>1050</v>
      </c>
    </row>
    <row r="321" spans="1:76" x14ac:dyDescent="0.25">
      <c r="A321" s="1" t="s">
        <v>1051</v>
      </c>
      <c r="B321" s="2" t="s">
        <v>1052</v>
      </c>
      <c r="C321" s="258" t="s">
        <v>1053</v>
      </c>
      <c r="D321" s="259"/>
      <c r="E321" s="2" t="s">
        <v>216</v>
      </c>
      <c r="F321" s="37">
        <v>0.9</v>
      </c>
      <c r="G321" s="66">
        <v>0</v>
      </c>
      <c r="H321" s="37">
        <f t="shared" si="270"/>
        <v>0</v>
      </c>
      <c r="I321" s="37">
        <f t="shared" si="271"/>
        <v>0</v>
      </c>
      <c r="J321" s="37">
        <f t="shared" si="272"/>
        <v>0</v>
      </c>
      <c r="K321" s="67" t="s">
        <v>357</v>
      </c>
      <c r="Z321" s="37">
        <f t="shared" si="273"/>
        <v>0</v>
      </c>
      <c r="AB321" s="37">
        <f t="shared" si="274"/>
        <v>0</v>
      </c>
      <c r="AC321" s="37">
        <f t="shared" si="275"/>
        <v>0</v>
      </c>
      <c r="AD321" s="37">
        <f t="shared" si="276"/>
        <v>0</v>
      </c>
      <c r="AE321" s="37">
        <f t="shared" si="277"/>
        <v>0</v>
      </c>
      <c r="AF321" s="37">
        <f t="shared" si="278"/>
        <v>0</v>
      </c>
      <c r="AG321" s="37">
        <f t="shared" si="279"/>
        <v>0</v>
      </c>
      <c r="AH321" s="37">
        <f t="shared" si="280"/>
        <v>0</v>
      </c>
      <c r="AI321" s="49" t="s">
        <v>89</v>
      </c>
      <c r="AJ321" s="37">
        <f t="shared" si="281"/>
        <v>0</v>
      </c>
      <c r="AK321" s="37">
        <f t="shared" si="282"/>
        <v>0</v>
      </c>
      <c r="AL321" s="37">
        <f t="shared" si="283"/>
        <v>0</v>
      </c>
      <c r="AN321" s="37">
        <v>21</v>
      </c>
      <c r="AO321" s="37">
        <f t="shared" si="292"/>
        <v>0</v>
      </c>
      <c r="AP321" s="37">
        <f t="shared" si="293"/>
        <v>0</v>
      </c>
      <c r="AQ321" s="68" t="s">
        <v>213</v>
      </c>
      <c r="AV321" s="37">
        <f t="shared" si="284"/>
        <v>0</v>
      </c>
      <c r="AW321" s="37">
        <f t="shared" si="285"/>
        <v>0</v>
      </c>
      <c r="AX321" s="37">
        <f t="shared" si="286"/>
        <v>0</v>
      </c>
      <c r="AY321" s="68" t="s">
        <v>978</v>
      </c>
      <c r="AZ321" s="68" t="s">
        <v>924</v>
      </c>
      <c r="BA321" s="49" t="s">
        <v>220</v>
      </c>
      <c r="BC321" s="37">
        <f t="shared" si="287"/>
        <v>0</v>
      </c>
      <c r="BD321" s="37">
        <f t="shared" si="288"/>
        <v>0</v>
      </c>
      <c r="BE321" s="37">
        <v>0</v>
      </c>
      <c r="BF321" s="37">
        <f>321</f>
        <v>321</v>
      </c>
      <c r="BH321" s="37">
        <f t="shared" si="289"/>
        <v>0</v>
      </c>
      <c r="BI321" s="37">
        <f t="shared" si="290"/>
        <v>0</v>
      </c>
      <c r="BJ321" s="37">
        <f t="shared" si="291"/>
        <v>0</v>
      </c>
      <c r="BK321" s="37"/>
      <c r="BL321" s="37">
        <v>96</v>
      </c>
      <c r="BW321" s="37">
        <v>21</v>
      </c>
      <c r="BX321" s="3" t="s">
        <v>1053</v>
      </c>
    </row>
    <row r="322" spans="1:76" x14ac:dyDescent="0.25">
      <c r="A322" s="1" t="s">
        <v>1054</v>
      </c>
      <c r="B322" s="2" t="s">
        <v>1055</v>
      </c>
      <c r="C322" s="258" t="s">
        <v>1056</v>
      </c>
      <c r="D322" s="259"/>
      <c r="E322" s="2" t="s">
        <v>313</v>
      </c>
      <c r="F322" s="37">
        <v>0.3</v>
      </c>
      <c r="G322" s="66">
        <v>0</v>
      </c>
      <c r="H322" s="37">
        <f t="shared" si="270"/>
        <v>0</v>
      </c>
      <c r="I322" s="37">
        <f t="shared" si="271"/>
        <v>0</v>
      </c>
      <c r="J322" s="37">
        <f t="shared" si="272"/>
        <v>0</v>
      </c>
      <c r="K322" s="67" t="s">
        <v>217</v>
      </c>
      <c r="Z322" s="37">
        <f t="shared" si="273"/>
        <v>0</v>
      </c>
      <c r="AB322" s="37">
        <f t="shared" si="274"/>
        <v>0</v>
      </c>
      <c r="AC322" s="37">
        <f t="shared" si="275"/>
        <v>0</v>
      </c>
      <c r="AD322" s="37">
        <f t="shared" si="276"/>
        <v>0</v>
      </c>
      <c r="AE322" s="37">
        <f t="shared" si="277"/>
        <v>0</v>
      </c>
      <c r="AF322" s="37">
        <f t="shared" si="278"/>
        <v>0</v>
      </c>
      <c r="AG322" s="37">
        <f t="shared" si="279"/>
        <v>0</v>
      </c>
      <c r="AH322" s="37">
        <f t="shared" si="280"/>
        <v>0</v>
      </c>
      <c r="AI322" s="49" t="s">
        <v>89</v>
      </c>
      <c r="AJ322" s="37">
        <f t="shared" si="281"/>
        <v>0</v>
      </c>
      <c r="AK322" s="37">
        <f t="shared" si="282"/>
        <v>0</v>
      </c>
      <c r="AL322" s="37">
        <f t="shared" si="283"/>
        <v>0</v>
      </c>
      <c r="AN322" s="37">
        <v>21</v>
      </c>
      <c r="AO322" s="37">
        <f>G322*0.331615599</f>
        <v>0</v>
      </c>
      <c r="AP322" s="37">
        <f>G322*(1-0.331615599)</f>
        <v>0</v>
      </c>
      <c r="AQ322" s="68" t="s">
        <v>213</v>
      </c>
      <c r="AV322" s="37">
        <f t="shared" si="284"/>
        <v>0</v>
      </c>
      <c r="AW322" s="37">
        <f t="shared" si="285"/>
        <v>0</v>
      </c>
      <c r="AX322" s="37">
        <f t="shared" si="286"/>
        <v>0</v>
      </c>
      <c r="AY322" s="68" t="s">
        <v>978</v>
      </c>
      <c r="AZ322" s="68" t="s">
        <v>924</v>
      </c>
      <c r="BA322" s="49" t="s">
        <v>220</v>
      </c>
      <c r="BC322" s="37">
        <f t="shared" si="287"/>
        <v>0</v>
      </c>
      <c r="BD322" s="37">
        <f t="shared" si="288"/>
        <v>0</v>
      </c>
      <c r="BE322" s="37">
        <v>0</v>
      </c>
      <c r="BF322" s="37">
        <f>322</f>
        <v>322</v>
      </c>
      <c r="BH322" s="37">
        <f t="shared" si="289"/>
        <v>0</v>
      </c>
      <c r="BI322" s="37">
        <f t="shared" si="290"/>
        <v>0</v>
      </c>
      <c r="BJ322" s="37">
        <f t="shared" si="291"/>
        <v>0</v>
      </c>
      <c r="BK322" s="37"/>
      <c r="BL322" s="37">
        <v>96</v>
      </c>
      <c r="BW322" s="37">
        <v>21</v>
      </c>
      <c r="BX322" s="3" t="s">
        <v>1056</v>
      </c>
    </row>
    <row r="323" spans="1:76" x14ac:dyDescent="0.25">
      <c r="A323" s="1" t="s">
        <v>1057</v>
      </c>
      <c r="B323" s="2" t="s">
        <v>1058</v>
      </c>
      <c r="C323" s="258" t="s">
        <v>1059</v>
      </c>
      <c r="D323" s="259"/>
      <c r="E323" s="2" t="s">
        <v>309</v>
      </c>
      <c r="F323" s="37">
        <v>6</v>
      </c>
      <c r="G323" s="66">
        <v>0</v>
      </c>
      <c r="H323" s="37">
        <f t="shared" si="270"/>
        <v>0</v>
      </c>
      <c r="I323" s="37">
        <f t="shared" si="271"/>
        <v>0</v>
      </c>
      <c r="J323" s="37">
        <f t="shared" si="272"/>
        <v>0</v>
      </c>
      <c r="K323" s="67" t="s">
        <v>327</v>
      </c>
      <c r="Z323" s="37">
        <f t="shared" si="273"/>
        <v>0</v>
      </c>
      <c r="AB323" s="37">
        <f t="shared" si="274"/>
        <v>0</v>
      </c>
      <c r="AC323" s="37">
        <f t="shared" si="275"/>
        <v>0</v>
      </c>
      <c r="AD323" s="37">
        <f t="shared" si="276"/>
        <v>0</v>
      </c>
      <c r="AE323" s="37">
        <f t="shared" si="277"/>
        <v>0</v>
      </c>
      <c r="AF323" s="37">
        <f t="shared" si="278"/>
        <v>0</v>
      </c>
      <c r="AG323" s="37">
        <f t="shared" si="279"/>
        <v>0</v>
      </c>
      <c r="AH323" s="37">
        <f t="shared" si="280"/>
        <v>0</v>
      </c>
      <c r="AI323" s="49" t="s">
        <v>89</v>
      </c>
      <c r="AJ323" s="37">
        <f t="shared" si="281"/>
        <v>0</v>
      </c>
      <c r="AK323" s="37">
        <f t="shared" si="282"/>
        <v>0</v>
      </c>
      <c r="AL323" s="37">
        <f t="shared" si="283"/>
        <v>0</v>
      </c>
      <c r="AN323" s="37">
        <v>21</v>
      </c>
      <c r="AO323" s="37">
        <f t="shared" ref="AO323:AO331" si="294">G323*0</f>
        <v>0</v>
      </c>
      <c r="AP323" s="37">
        <f t="shared" ref="AP323:AP331" si="295">G323*(1-0)</f>
        <v>0</v>
      </c>
      <c r="AQ323" s="68" t="s">
        <v>213</v>
      </c>
      <c r="AV323" s="37">
        <f t="shared" si="284"/>
        <v>0</v>
      </c>
      <c r="AW323" s="37">
        <f t="shared" si="285"/>
        <v>0</v>
      </c>
      <c r="AX323" s="37">
        <f t="shared" si="286"/>
        <v>0</v>
      </c>
      <c r="AY323" s="68" t="s">
        <v>978</v>
      </c>
      <c r="AZ323" s="68" t="s">
        <v>924</v>
      </c>
      <c r="BA323" s="49" t="s">
        <v>220</v>
      </c>
      <c r="BC323" s="37">
        <f t="shared" si="287"/>
        <v>0</v>
      </c>
      <c r="BD323" s="37">
        <f t="shared" si="288"/>
        <v>0</v>
      </c>
      <c r="BE323" s="37">
        <v>0</v>
      </c>
      <c r="BF323" s="37">
        <f>323</f>
        <v>323</v>
      </c>
      <c r="BH323" s="37">
        <f t="shared" si="289"/>
        <v>0</v>
      </c>
      <c r="BI323" s="37">
        <f t="shared" si="290"/>
        <v>0</v>
      </c>
      <c r="BJ323" s="37">
        <f t="shared" si="291"/>
        <v>0</v>
      </c>
      <c r="BK323" s="37"/>
      <c r="BL323" s="37">
        <v>96</v>
      </c>
      <c r="BW323" s="37">
        <v>21</v>
      </c>
      <c r="BX323" s="3" t="s">
        <v>1059</v>
      </c>
    </row>
    <row r="324" spans="1:76" x14ac:dyDescent="0.25">
      <c r="A324" s="1" t="s">
        <v>1060</v>
      </c>
      <c r="B324" s="2" t="s">
        <v>1061</v>
      </c>
      <c r="C324" s="258" t="s">
        <v>1062</v>
      </c>
      <c r="D324" s="259"/>
      <c r="E324" s="2" t="s">
        <v>266</v>
      </c>
      <c r="F324" s="37">
        <v>1.85853</v>
      </c>
      <c r="G324" s="66">
        <v>0</v>
      </c>
      <c r="H324" s="37">
        <f t="shared" si="270"/>
        <v>0</v>
      </c>
      <c r="I324" s="37">
        <f t="shared" si="271"/>
        <v>0</v>
      </c>
      <c r="J324" s="37">
        <f t="shared" si="272"/>
        <v>0</v>
      </c>
      <c r="K324" s="67" t="s">
        <v>217</v>
      </c>
      <c r="Z324" s="37">
        <f t="shared" si="273"/>
        <v>0</v>
      </c>
      <c r="AB324" s="37">
        <f t="shared" si="274"/>
        <v>0</v>
      </c>
      <c r="AC324" s="37">
        <f t="shared" si="275"/>
        <v>0</v>
      </c>
      <c r="AD324" s="37">
        <f t="shared" si="276"/>
        <v>0</v>
      </c>
      <c r="AE324" s="37">
        <f t="shared" si="277"/>
        <v>0</v>
      </c>
      <c r="AF324" s="37">
        <f t="shared" si="278"/>
        <v>0</v>
      </c>
      <c r="AG324" s="37">
        <f t="shared" si="279"/>
        <v>0</v>
      </c>
      <c r="AH324" s="37">
        <f t="shared" si="280"/>
        <v>0</v>
      </c>
      <c r="AI324" s="49" t="s">
        <v>89</v>
      </c>
      <c r="AJ324" s="37">
        <f t="shared" si="281"/>
        <v>0</v>
      </c>
      <c r="AK324" s="37">
        <f t="shared" si="282"/>
        <v>0</v>
      </c>
      <c r="AL324" s="37">
        <f t="shared" si="283"/>
        <v>0</v>
      </c>
      <c r="AN324" s="37">
        <v>21</v>
      </c>
      <c r="AO324" s="37">
        <f t="shared" si="294"/>
        <v>0</v>
      </c>
      <c r="AP324" s="37">
        <f t="shared" si="295"/>
        <v>0</v>
      </c>
      <c r="AQ324" s="68" t="s">
        <v>231</v>
      </c>
      <c r="AV324" s="37">
        <f t="shared" si="284"/>
        <v>0</v>
      </c>
      <c r="AW324" s="37">
        <f t="shared" si="285"/>
        <v>0</v>
      </c>
      <c r="AX324" s="37">
        <f t="shared" si="286"/>
        <v>0</v>
      </c>
      <c r="AY324" s="68" t="s">
        <v>978</v>
      </c>
      <c r="AZ324" s="68" t="s">
        <v>924</v>
      </c>
      <c r="BA324" s="49" t="s">
        <v>220</v>
      </c>
      <c r="BC324" s="37">
        <f t="shared" si="287"/>
        <v>0</v>
      </c>
      <c r="BD324" s="37">
        <f t="shared" si="288"/>
        <v>0</v>
      </c>
      <c r="BE324" s="37">
        <v>0</v>
      </c>
      <c r="BF324" s="37">
        <f>324</f>
        <v>324</v>
      </c>
      <c r="BH324" s="37">
        <f t="shared" si="289"/>
        <v>0</v>
      </c>
      <c r="BI324" s="37">
        <f t="shared" si="290"/>
        <v>0</v>
      </c>
      <c r="BJ324" s="37">
        <f t="shared" si="291"/>
        <v>0</v>
      </c>
      <c r="BK324" s="37"/>
      <c r="BL324" s="37">
        <v>96</v>
      </c>
      <c r="BW324" s="37">
        <v>21</v>
      </c>
      <c r="BX324" s="3" t="s">
        <v>1062</v>
      </c>
    </row>
    <row r="325" spans="1:76" x14ac:dyDescent="0.25">
      <c r="A325" s="1" t="s">
        <v>1063</v>
      </c>
      <c r="B325" s="2" t="s">
        <v>1064</v>
      </c>
      <c r="C325" s="258" t="s">
        <v>1065</v>
      </c>
      <c r="D325" s="259"/>
      <c r="E325" s="2" t="s">
        <v>313</v>
      </c>
      <c r="F325" s="37">
        <v>4.3</v>
      </c>
      <c r="G325" s="66">
        <v>0</v>
      </c>
      <c r="H325" s="37">
        <f t="shared" si="270"/>
        <v>0</v>
      </c>
      <c r="I325" s="37">
        <f t="shared" si="271"/>
        <v>0</v>
      </c>
      <c r="J325" s="37">
        <f t="shared" si="272"/>
        <v>0</v>
      </c>
      <c r="K325" s="67" t="s">
        <v>217</v>
      </c>
      <c r="Z325" s="37">
        <f t="shared" si="273"/>
        <v>0</v>
      </c>
      <c r="AB325" s="37">
        <f t="shared" si="274"/>
        <v>0</v>
      </c>
      <c r="AC325" s="37">
        <f t="shared" si="275"/>
        <v>0</v>
      </c>
      <c r="AD325" s="37">
        <f t="shared" si="276"/>
        <v>0</v>
      </c>
      <c r="AE325" s="37">
        <f t="shared" si="277"/>
        <v>0</v>
      </c>
      <c r="AF325" s="37">
        <f t="shared" si="278"/>
        <v>0</v>
      </c>
      <c r="AG325" s="37">
        <f t="shared" si="279"/>
        <v>0</v>
      </c>
      <c r="AH325" s="37">
        <f t="shared" si="280"/>
        <v>0</v>
      </c>
      <c r="AI325" s="49" t="s">
        <v>89</v>
      </c>
      <c r="AJ325" s="37">
        <f t="shared" si="281"/>
        <v>0</v>
      </c>
      <c r="AK325" s="37">
        <f t="shared" si="282"/>
        <v>0</v>
      </c>
      <c r="AL325" s="37">
        <f t="shared" si="283"/>
        <v>0</v>
      </c>
      <c r="AN325" s="37">
        <v>21</v>
      </c>
      <c r="AO325" s="37">
        <f t="shared" si="294"/>
        <v>0</v>
      </c>
      <c r="AP325" s="37">
        <f t="shared" si="295"/>
        <v>0</v>
      </c>
      <c r="AQ325" s="68" t="s">
        <v>213</v>
      </c>
      <c r="AV325" s="37">
        <f t="shared" si="284"/>
        <v>0</v>
      </c>
      <c r="AW325" s="37">
        <f t="shared" si="285"/>
        <v>0</v>
      </c>
      <c r="AX325" s="37">
        <f t="shared" si="286"/>
        <v>0</v>
      </c>
      <c r="AY325" s="68" t="s">
        <v>978</v>
      </c>
      <c r="AZ325" s="68" t="s">
        <v>924</v>
      </c>
      <c r="BA325" s="49" t="s">
        <v>220</v>
      </c>
      <c r="BC325" s="37">
        <f t="shared" si="287"/>
        <v>0</v>
      </c>
      <c r="BD325" s="37">
        <f t="shared" si="288"/>
        <v>0</v>
      </c>
      <c r="BE325" s="37">
        <v>0</v>
      </c>
      <c r="BF325" s="37">
        <f>325</f>
        <v>325</v>
      </c>
      <c r="BH325" s="37">
        <f t="shared" si="289"/>
        <v>0</v>
      </c>
      <c r="BI325" s="37">
        <f t="shared" si="290"/>
        <v>0</v>
      </c>
      <c r="BJ325" s="37">
        <f t="shared" si="291"/>
        <v>0</v>
      </c>
      <c r="BK325" s="37"/>
      <c r="BL325" s="37">
        <v>96</v>
      </c>
      <c r="BW325" s="37">
        <v>21</v>
      </c>
      <c r="BX325" s="3" t="s">
        <v>1065</v>
      </c>
    </row>
    <row r="326" spans="1:76" x14ac:dyDescent="0.25">
      <c r="A326" s="1" t="s">
        <v>1066</v>
      </c>
      <c r="B326" s="2" t="s">
        <v>1067</v>
      </c>
      <c r="C326" s="258" t="s">
        <v>1068</v>
      </c>
      <c r="D326" s="259"/>
      <c r="E326" s="2" t="s">
        <v>313</v>
      </c>
      <c r="F326" s="37">
        <v>12.2</v>
      </c>
      <c r="G326" s="66">
        <v>0</v>
      </c>
      <c r="H326" s="37">
        <f t="shared" si="270"/>
        <v>0</v>
      </c>
      <c r="I326" s="37">
        <f t="shared" si="271"/>
        <v>0</v>
      </c>
      <c r="J326" s="37">
        <f t="shared" si="272"/>
        <v>0</v>
      </c>
      <c r="K326" s="67" t="s">
        <v>217</v>
      </c>
      <c r="Z326" s="37">
        <f t="shared" si="273"/>
        <v>0</v>
      </c>
      <c r="AB326" s="37">
        <f t="shared" si="274"/>
        <v>0</v>
      </c>
      <c r="AC326" s="37">
        <f t="shared" si="275"/>
        <v>0</v>
      </c>
      <c r="AD326" s="37">
        <f t="shared" si="276"/>
        <v>0</v>
      </c>
      <c r="AE326" s="37">
        <f t="shared" si="277"/>
        <v>0</v>
      </c>
      <c r="AF326" s="37">
        <f t="shared" si="278"/>
        <v>0</v>
      </c>
      <c r="AG326" s="37">
        <f t="shared" si="279"/>
        <v>0</v>
      </c>
      <c r="AH326" s="37">
        <f t="shared" si="280"/>
        <v>0</v>
      </c>
      <c r="AI326" s="49" t="s">
        <v>89</v>
      </c>
      <c r="AJ326" s="37">
        <f t="shared" si="281"/>
        <v>0</v>
      </c>
      <c r="AK326" s="37">
        <f t="shared" si="282"/>
        <v>0</v>
      </c>
      <c r="AL326" s="37">
        <f t="shared" si="283"/>
        <v>0</v>
      </c>
      <c r="AN326" s="37">
        <v>21</v>
      </c>
      <c r="AO326" s="37">
        <f t="shared" si="294"/>
        <v>0</v>
      </c>
      <c r="AP326" s="37">
        <f t="shared" si="295"/>
        <v>0</v>
      </c>
      <c r="AQ326" s="68" t="s">
        <v>213</v>
      </c>
      <c r="AV326" s="37">
        <f t="shared" si="284"/>
        <v>0</v>
      </c>
      <c r="AW326" s="37">
        <f t="shared" si="285"/>
        <v>0</v>
      </c>
      <c r="AX326" s="37">
        <f t="shared" si="286"/>
        <v>0</v>
      </c>
      <c r="AY326" s="68" t="s">
        <v>978</v>
      </c>
      <c r="AZ326" s="68" t="s">
        <v>924</v>
      </c>
      <c r="BA326" s="49" t="s">
        <v>220</v>
      </c>
      <c r="BC326" s="37">
        <f t="shared" si="287"/>
        <v>0</v>
      </c>
      <c r="BD326" s="37">
        <f t="shared" si="288"/>
        <v>0</v>
      </c>
      <c r="BE326" s="37">
        <v>0</v>
      </c>
      <c r="BF326" s="37">
        <f>326</f>
        <v>326</v>
      </c>
      <c r="BH326" s="37">
        <f t="shared" si="289"/>
        <v>0</v>
      </c>
      <c r="BI326" s="37">
        <f t="shared" si="290"/>
        <v>0</v>
      </c>
      <c r="BJ326" s="37">
        <f t="shared" si="291"/>
        <v>0</v>
      </c>
      <c r="BK326" s="37"/>
      <c r="BL326" s="37">
        <v>96</v>
      </c>
      <c r="BW326" s="37">
        <v>21</v>
      </c>
      <c r="BX326" s="3" t="s">
        <v>1068</v>
      </c>
    </row>
    <row r="327" spans="1:76" x14ac:dyDescent="0.25">
      <c r="A327" s="1" t="s">
        <v>1069</v>
      </c>
      <c r="B327" s="2" t="s">
        <v>1070</v>
      </c>
      <c r="C327" s="258" t="s">
        <v>1071</v>
      </c>
      <c r="D327" s="259"/>
      <c r="E327" s="2" t="s">
        <v>313</v>
      </c>
      <c r="F327" s="37">
        <v>6.4</v>
      </c>
      <c r="G327" s="66">
        <v>0</v>
      </c>
      <c r="H327" s="37">
        <f t="shared" si="270"/>
        <v>0</v>
      </c>
      <c r="I327" s="37">
        <f t="shared" si="271"/>
        <v>0</v>
      </c>
      <c r="J327" s="37">
        <f t="shared" si="272"/>
        <v>0</v>
      </c>
      <c r="K327" s="67" t="s">
        <v>217</v>
      </c>
      <c r="Z327" s="37">
        <f t="shared" si="273"/>
        <v>0</v>
      </c>
      <c r="AB327" s="37">
        <f t="shared" si="274"/>
        <v>0</v>
      </c>
      <c r="AC327" s="37">
        <f t="shared" si="275"/>
        <v>0</v>
      </c>
      <c r="AD327" s="37">
        <f t="shared" si="276"/>
        <v>0</v>
      </c>
      <c r="AE327" s="37">
        <f t="shared" si="277"/>
        <v>0</v>
      </c>
      <c r="AF327" s="37">
        <f t="shared" si="278"/>
        <v>0</v>
      </c>
      <c r="AG327" s="37">
        <f t="shared" si="279"/>
        <v>0</v>
      </c>
      <c r="AH327" s="37">
        <f t="shared" si="280"/>
        <v>0</v>
      </c>
      <c r="AI327" s="49" t="s">
        <v>89</v>
      </c>
      <c r="AJ327" s="37">
        <f t="shared" si="281"/>
        <v>0</v>
      </c>
      <c r="AK327" s="37">
        <f t="shared" si="282"/>
        <v>0</v>
      </c>
      <c r="AL327" s="37">
        <f t="shared" si="283"/>
        <v>0</v>
      </c>
      <c r="AN327" s="37">
        <v>21</v>
      </c>
      <c r="AO327" s="37">
        <f t="shared" si="294"/>
        <v>0</v>
      </c>
      <c r="AP327" s="37">
        <f t="shared" si="295"/>
        <v>0</v>
      </c>
      <c r="AQ327" s="68" t="s">
        <v>213</v>
      </c>
      <c r="AV327" s="37">
        <f t="shared" si="284"/>
        <v>0</v>
      </c>
      <c r="AW327" s="37">
        <f t="shared" si="285"/>
        <v>0</v>
      </c>
      <c r="AX327" s="37">
        <f t="shared" si="286"/>
        <v>0</v>
      </c>
      <c r="AY327" s="68" t="s">
        <v>978</v>
      </c>
      <c r="AZ327" s="68" t="s">
        <v>924</v>
      </c>
      <c r="BA327" s="49" t="s">
        <v>220</v>
      </c>
      <c r="BC327" s="37">
        <f t="shared" si="287"/>
        <v>0</v>
      </c>
      <c r="BD327" s="37">
        <f t="shared" si="288"/>
        <v>0</v>
      </c>
      <c r="BE327" s="37">
        <v>0</v>
      </c>
      <c r="BF327" s="37">
        <f>327</f>
        <v>327</v>
      </c>
      <c r="BH327" s="37">
        <f t="shared" si="289"/>
        <v>0</v>
      </c>
      <c r="BI327" s="37">
        <f t="shared" si="290"/>
        <v>0</v>
      </c>
      <c r="BJ327" s="37">
        <f t="shared" si="291"/>
        <v>0</v>
      </c>
      <c r="BK327" s="37"/>
      <c r="BL327" s="37">
        <v>96</v>
      </c>
      <c r="BW327" s="37">
        <v>21</v>
      </c>
      <c r="BX327" s="3" t="s">
        <v>1071</v>
      </c>
    </row>
    <row r="328" spans="1:76" x14ac:dyDescent="0.25">
      <c r="A328" s="1" t="s">
        <v>1072</v>
      </c>
      <c r="B328" s="2" t="s">
        <v>1073</v>
      </c>
      <c r="C328" s="258" t="s">
        <v>1074</v>
      </c>
      <c r="D328" s="259"/>
      <c r="E328" s="2" t="s">
        <v>309</v>
      </c>
      <c r="F328" s="37">
        <v>8</v>
      </c>
      <c r="G328" s="66">
        <v>0</v>
      </c>
      <c r="H328" s="37">
        <f t="shared" si="270"/>
        <v>0</v>
      </c>
      <c r="I328" s="37">
        <f t="shared" si="271"/>
        <v>0</v>
      </c>
      <c r="J328" s="37">
        <f t="shared" si="272"/>
        <v>0</v>
      </c>
      <c r="K328" s="67" t="s">
        <v>217</v>
      </c>
      <c r="Z328" s="37">
        <f t="shared" si="273"/>
        <v>0</v>
      </c>
      <c r="AB328" s="37">
        <f t="shared" si="274"/>
        <v>0</v>
      </c>
      <c r="AC328" s="37">
        <f t="shared" si="275"/>
        <v>0</v>
      </c>
      <c r="AD328" s="37">
        <f t="shared" si="276"/>
        <v>0</v>
      </c>
      <c r="AE328" s="37">
        <f t="shared" si="277"/>
        <v>0</v>
      </c>
      <c r="AF328" s="37">
        <f t="shared" si="278"/>
        <v>0</v>
      </c>
      <c r="AG328" s="37">
        <f t="shared" si="279"/>
        <v>0</v>
      </c>
      <c r="AH328" s="37">
        <f t="shared" si="280"/>
        <v>0</v>
      </c>
      <c r="AI328" s="49" t="s">
        <v>89</v>
      </c>
      <c r="AJ328" s="37">
        <f t="shared" si="281"/>
        <v>0</v>
      </c>
      <c r="AK328" s="37">
        <f t="shared" si="282"/>
        <v>0</v>
      </c>
      <c r="AL328" s="37">
        <f t="shared" si="283"/>
        <v>0</v>
      </c>
      <c r="AN328" s="37">
        <v>21</v>
      </c>
      <c r="AO328" s="37">
        <f t="shared" si="294"/>
        <v>0</v>
      </c>
      <c r="AP328" s="37">
        <f t="shared" si="295"/>
        <v>0</v>
      </c>
      <c r="AQ328" s="68" t="s">
        <v>213</v>
      </c>
      <c r="AV328" s="37">
        <f t="shared" si="284"/>
        <v>0</v>
      </c>
      <c r="AW328" s="37">
        <f t="shared" si="285"/>
        <v>0</v>
      </c>
      <c r="AX328" s="37">
        <f t="shared" si="286"/>
        <v>0</v>
      </c>
      <c r="AY328" s="68" t="s">
        <v>978</v>
      </c>
      <c r="AZ328" s="68" t="s">
        <v>924</v>
      </c>
      <c r="BA328" s="49" t="s">
        <v>220</v>
      </c>
      <c r="BC328" s="37">
        <f t="shared" si="287"/>
        <v>0</v>
      </c>
      <c r="BD328" s="37">
        <f t="shared" si="288"/>
        <v>0</v>
      </c>
      <c r="BE328" s="37">
        <v>0</v>
      </c>
      <c r="BF328" s="37">
        <f>328</f>
        <v>328</v>
      </c>
      <c r="BH328" s="37">
        <f t="shared" si="289"/>
        <v>0</v>
      </c>
      <c r="BI328" s="37">
        <f t="shared" si="290"/>
        <v>0</v>
      </c>
      <c r="BJ328" s="37">
        <f t="shared" si="291"/>
        <v>0</v>
      </c>
      <c r="BK328" s="37"/>
      <c r="BL328" s="37">
        <v>96</v>
      </c>
      <c r="BW328" s="37">
        <v>21</v>
      </c>
      <c r="BX328" s="3" t="s">
        <v>1074</v>
      </c>
    </row>
    <row r="329" spans="1:76" x14ac:dyDescent="0.25">
      <c r="A329" s="1" t="s">
        <v>1075</v>
      </c>
      <c r="B329" s="2" t="s">
        <v>1076</v>
      </c>
      <c r="C329" s="258" t="s">
        <v>1077</v>
      </c>
      <c r="D329" s="259"/>
      <c r="E329" s="2" t="s">
        <v>313</v>
      </c>
      <c r="F329" s="37">
        <v>3.2</v>
      </c>
      <c r="G329" s="66">
        <v>0</v>
      </c>
      <c r="H329" s="37">
        <f t="shared" si="270"/>
        <v>0</v>
      </c>
      <c r="I329" s="37">
        <f t="shared" si="271"/>
        <v>0</v>
      </c>
      <c r="J329" s="37">
        <f t="shared" si="272"/>
        <v>0</v>
      </c>
      <c r="K329" s="67" t="s">
        <v>217</v>
      </c>
      <c r="Z329" s="37">
        <f t="shared" si="273"/>
        <v>0</v>
      </c>
      <c r="AB329" s="37">
        <f t="shared" si="274"/>
        <v>0</v>
      </c>
      <c r="AC329" s="37">
        <f t="shared" si="275"/>
        <v>0</v>
      </c>
      <c r="AD329" s="37">
        <f t="shared" si="276"/>
        <v>0</v>
      </c>
      <c r="AE329" s="37">
        <f t="shared" si="277"/>
        <v>0</v>
      </c>
      <c r="AF329" s="37">
        <f t="shared" si="278"/>
        <v>0</v>
      </c>
      <c r="AG329" s="37">
        <f t="shared" si="279"/>
        <v>0</v>
      </c>
      <c r="AH329" s="37">
        <f t="shared" si="280"/>
        <v>0</v>
      </c>
      <c r="AI329" s="49" t="s">
        <v>89</v>
      </c>
      <c r="AJ329" s="37">
        <f t="shared" si="281"/>
        <v>0</v>
      </c>
      <c r="AK329" s="37">
        <f t="shared" si="282"/>
        <v>0</v>
      </c>
      <c r="AL329" s="37">
        <f t="shared" si="283"/>
        <v>0</v>
      </c>
      <c r="AN329" s="37">
        <v>21</v>
      </c>
      <c r="AO329" s="37">
        <f t="shared" si="294"/>
        <v>0</v>
      </c>
      <c r="AP329" s="37">
        <f t="shared" si="295"/>
        <v>0</v>
      </c>
      <c r="AQ329" s="68" t="s">
        <v>213</v>
      </c>
      <c r="AV329" s="37">
        <f t="shared" si="284"/>
        <v>0</v>
      </c>
      <c r="AW329" s="37">
        <f t="shared" si="285"/>
        <v>0</v>
      </c>
      <c r="AX329" s="37">
        <f t="shared" si="286"/>
        <v>0</v>
      </c>
      <c r="AY329" s="68" t="s">
        <v>978</v>
      </c>
      <c r="AZ329" s="68" t="s">
        <v>924</v>
      </c>
      <c r="BA329" s="49" t="s">
        <v>220</v>
      </c>
      <c r="BC329" s="37">
        <f t="shared" si="287"/>
        <v>0</v>
      </c>
      <c r="BD329" s="37">
        <f t="shared" si="288"/>
        <v>0</v>
      </c>
      <c r="BE329" s="37">
        <v>0</v>
      </c>
      <c r="BF329" s="37">
        <f>329</f>
        <v>329</v>
      </c>
      <c r="BH329" s="37">
        <f t="shared" si="289"/>
        <v>0</v>
      </c>
      <c r="BI329" s="37">
        <f t="shared" si="290"/>
        <v>0</v>
      </c>
      <c r="BJ329" s="37">
        <f t="shared" si="291"/>
        <v>0</v>
      </c>
      <c r="BK329" s="37"/>
      <c r="BL329" s="37">
        <v>96</v>
      </c>
      <c r="BW329" s="37">
        <v>21</v>
      </c>
      <c r="BX329" s="3" t="s">
        <v>1077</v>
      </c>
    </row>
    <row r="330" spans="1:76" x14ac:dyDescent="0.25">
      <c r="A330" s="1" t="s">
        <v>1078</v>
      </c>
      <c r="B330" s="2" t="s">
        <v>1079</v>
      </c>
      <c r="C330" s="258" t="s">
        <v>1080</v>
      </c>
      <c r="D330" s="259"/>
      <c r="E330" s="2" t="s">
        <v>313</v>
      </c>
      <c r="F330" s="37">
        <v>6.3</v>
      </c>
      <c r="G330" s="66">
        <v>0</v>
      </c>
      <c r="H330" s="37">
        <f t="shared" si="270"/>
        <v>0</v>
      </c>
      <c r="I330" s="37">
        <f t="shared" si="271"/>
        <v>0</v>
      </c>
      <c r="J330" s="37">
        <f t="shared" si="272"/>
        <v>0</v>
      </c>
      <c r="K330" s="67" t="s">
        <v>327</v>
      </c>
      <c r="Z330" s="37">
        <f t="shared" si="273"/>
        <v>0</v>
      </c>
      <c r="AB330" s="37">
        <f t="shared" si="274"/>
        <v>0</v>
      </c>
      <c r="AC330" s="37">
        <f t="shared" si="275"/>
        <v>0</v>
      </c>
      <c r="AD330" s="37">
        <f t="shared" si="276"/>
        <v>0</v>
      </c>
      <c r="AE330" s="37">
        <f t="shared" si="277"/>
        <v>0</v>
      </c>
      <c r="AF330" s="37">
        <f t="shared" si="278"/>
        <v>0</v>
      </c>
      <c r="AG330" s="37">
        <f t="shared" si="279"/>
        <v>0</v>
      </c>
      <c r="AH330" s="37">
        <f t="shared" si="280"/>
        <v>0</v>
      </c>
      <c r="AI330" s="49" t="s">
        <v>89</v>
      </c>
      <c r="AJ330" s="37">
        <f t="shared" si="281"/>
        <v>0</v>
      </c>
      <c r="AK330" s="37">
        <f t="shared" si="282"/>
        <v>0</v>
      </c>
      <c r="AL330" s="37">
        <f t="shared" si="283"/>
        <v>0</v>
      </c>
      <c r="AN330" s="37">
        <v>21</v>
      </c>
      <c r="AO330" s="37">
        <f t="shared" si="294"/>
        <v>0</v>
      </c>
      <c r="AP330" s="37">
        <f t="shared" si="295"/>
        <v>0</v>
      </c>
      <c r="AQ330" s="68" t="s">
        <v>213</v>
      </c>
      <c r="AV330" s="37">
        <f t="shared" si="284"/>
        <v>0</v>
      </c>
      <c r="AW330" s="37">
        <f t="shared" si="285"/>
        <v>0</v>
      </c>
      <c r="AX330" s="37">
        <f t="shared" si="286"/>
        <v>0</v>
      </c>
      <c r="AY330" s="68" t="s">
        <v>978</v>
      </c>
      <c r="AZ330" s="68" t="s">
        <v>924</v>
      </c>
      <c r="BA330" s="49" t="s">
        <v>220</v>
      </c>
      <c r="BC330" s="37">
        <f t="shared" si="287"/>
        <v>0</v>
      </c>
      <c r="BD330" s="37">
        <f t="shared" si="288"/>
        <v>0</v>
      </c>
      <c r="BE330" s="37">
        <v>0</v>
      </c>
      <c r="BF330" s="37">
        <f>330</f>
        <v>330</v>
      </c>
      <c r="BH330" s="37">
        <f t="shared" si="289"/>
        <v>0</v>
      </c>
      <c r="BI330" s="37">
        <f t="shared" si="290"/>
        <v>0</v>
      </c>
      <c r="BJ330" s="37">
        <f t="shared" si="291"/>
        <v>0</v>
      </c>
      <c r="BK330" s="37"/>
      <c r="BL330" s="37">
        <v>96</v>
      </c>
      <c r="BW330" s="37">
        <v>21</v>
      </c>
      <c r="BX330" s="3" t="s">
        <v>1080</v>
      </c>
    </row>
    <row r="331" spans="1:76" x14ac:dyDescent="0.25">
      <c r="A331" s="1" t="s">
        <v>1081</v>
      </c>
      <c r="B331" s="2" t="s">
        <v>1082</v>
      </c>
      <c r="C331" s="258" t="s">
        <v>1083</v>
      </c>
      <c r="D331" s="259"/>
      <c r="E331" s="2" t="s">
        <v>313</v>
      </c>
      <c r="F331" s="37">
        <v>11.67</v>
      </c>
      <c r="G331" s="66">
        <v>0</v>
      </c>
      <c r="H331" s="37">
        <f t="shared" si="270"/>
        <v>0</v>
      </c>
      <c r="I331" s="37">
        <f t="shared" si="271"/>
        <v>0</v>
      </c>
      <c r="J331" s="37">
        <f t="shared" si="272"/>
        <v>0</v>
      </c>
      <c r="K331" s="67" t="s">
        <v>357</v>
      </c>
      <c r="Z331" s="37">
        <f t="shared" si="273"/>
        <v>0</v>
      </c>
      <c r="AB331" s="37">
        <f t="shared" si="274"/>
        <v>0</v>
      </c>
      <c r="AC331" s="37">
        <f t="shared" si="275"/>
        <v>0</v>
      </c>
      <c r="AD331" s="37">
        <f t="shared" si="276"/>
        <v>0</v>
      </c>
      <c r="AE331" s="37">
        <f t="shared" si="277"/>
        <v>0</v>
      </c>
      <c r="AF331" s="37">
        <f t="shared" si="278"/>
        <v>0</v>
      </c>
      <c r="AG331" s="37">
        <f t="shared" si="279"/>
        <v>0</v>
      </c>
      <c r="AH331" s="37">
        <f t="shared" si="280"/>
        <v>0</v>
      </c>
      <c r="AI331" s="49" t="s">
        <v>89</v>
      </c>
      <c r="AJ331" s="37">
        <f t="shared" si="281"/>
        <v>0</v>
      </c>
      <c r="AK331" s="37">
        <f t="shared" si="282"/>
        <v>0</v>
      </c>
      <c r="AL331" s="37">
        <f t="shared" si="283"/>
        <v>0</v>
      </c>
      <c r="AN331" s="37">
        <v>21</v>
      </c>
      <c r="AO331" s="37">
        <f t="shared" si="294"/>
        <v>0</v>
      </c>
      <c r="AP331" s="37">
        <f t="shared" si="295"/>
        <v>0</v>
      </c>
      <c r="AQ331" s="68" t="s">
        <v>213</v>
      </c>
      <c r="AV331" s="37">
        <f t="shared" si="284"/>
        <v>0</v>
      </c>
      <c r="AW331" s="37">
        <f t="shared" si="285"/>
        <v>0</v>
      </c>
      <c r="AX331" s="37">
        <f t="shared" si="286"/>
        <v>0</v>
      </c>
      <c r="AY331" s="68" t="s">
        <v>978</v>
      </c>
      <c r="AZ331" s="68" t="s">
        <v>924</v>
      </c>
      <c r="BA331" s="49" t="s">
        <v>220</v>
      </c>
      <c r="BC331" s="37">
        <f t="shared" si="287"/>
        <v>0</v>
      </c>
      <c r="BD331" s="37">
        <f t="shared" si="288"/>
        <v>0</v>
      </c>
      <c r="BE331" s="37">
        <v>0</v>
      </c>
      <c r="BF331" s="37">
        <f>331</f>
        <v>331</v>
      </c>
      <c r="BH331" s="37">
        <f t="shared" si="289"/>
        <v>0</v>
      </c>
      <c r="BI331" s="37">
        <f t="shared" si="290"/>
        <v>0</v>
      </c>
      <c r="BJ331" s="37">
        <f t="shared" si="291"/>
        <v>0</v>
      </c>
      <c r="BK331" s="37"/>
      <c r="BL331" s="37">
        <v>96</v>
      </c>
      <c r="BW331" s="37">
        <v>21</v>
      </c>
      <c r="BX331" s="3" t="s">
        <v>1083</v>
      </c>
    </row>
    <row r="332" spans="1:76" x14ac:dyDescent="0.25">
      <c r="A332" s="1" t="s">
        <v>1084</v>
      </c>
      <c r="B332" s="2" t="s">
        <v>1085</v>
      </c>
      <c r="C332" s="258" t="s">
        <v>1086</v>
      </c>
      <c r="D332" s="259"/>
      <c r="E332" s="2" t="s">
        <v>313</v>
      </c>
      <c r="F332" s="37">
        <v>4.024</v>
      </c>
      <c r="G332" s="66">
        <v>0</v>
      </c>
      <c r="H332" s="37">
        <f t="shared" si="270"/>
        <v>0</v>
      </c>
      <c r="I332" s="37">
        <f t="shared" si="271"/>
        <v>0</v>
      </c>
      <c r="J332" s="37">
        <f t="shared" si="272"/>
        <v>0</v>
      </c>
      <c r="K332" s="67" t="s">
        <v>217</v>
      </c>
      <c r="Z332" s="37">
        <f t="shared" si="273"/>
        <v>0</v>
      </c>
      <c r="AB332" s="37">
        <f t="shared" si="274"/>
        <v>0</v>
      </c>
      <c r="AC332" s="37">
        <f t="shared" si="275"/>
        <v>0</v>
      </c>
      <c r="AD332" s="37">
        <f t="shared" si="276"/>
        <v>0</v>
      </c>
      <c r="AE332" s="37">
        <f t="shared" si="277"/>
        <v>0</v>
      </c>
      <c r="AF332" s="37">
        <f t="shared" si="278"/>
        <v>0</v>
      </c>
      <c r="AG332" s="37">
        <f t="shared" si="279"/>
        <v>0</v>
      </c>
      <c r="AH332" s="37">
        <f t="shared" si="280"/>
        <v>0</v>
      </c>
      <c r="AI332" s="49" t="s">
        <v>89</v>
      </c>
      <c r="AJ332" s="37">
        <f t="shared" si="281"/>
        <v>0</v>
      </c>
      <c r="AK332" s="37">
        <f t="shared" si="282"/>
        <v>0</v>
      </c>
      <c r="AL332" s="37">
        <f t="shared" si="283"/>
        <v>0</v>
      </c>
      <c r="AN332" s="37">
        <v>21</v>
      </c>
      <c r="AO332" s="37">
        <f>G332*0.082386544</f>
        <v>0</v>
      </c>
      <c r="AP332" s="37">
        <f>G332*(1-0.082386544)</f>
        <v>0</v>
      </c>
      <c r="AQ332" s="68" t="s">
        <v>213</v>
      </c>
      <c r="AV332" s="37">
        <f t="shared" si="284"/>
        <v>0</v>
      </c>
      <c r="AW332" s="37">
        <f t="shared" si="285"/>
        <v>0</v>
      </c>
      <c r="AX332" s="37">
        <f t="shared" si="286"/>
        <v>0</v>
      </c>
      <c r="AY332" s="68" t="s">
        <v>978</v>
      </c>
      <c r="AZ332" s="68" t="s">
        <v>924</v>
      </c>
      <c r="BA332" s="49" t="s">
        <v>220</v>
      </c>
      <c r="BC332" s="37">
        <f t="shared" si="287"/>
        <v>0</v>
      </c>
      <c r="BD332" s="37">
        <f t="shared" si="288"/>
        <v>0</v>
      </c>
      <c r="BE332" s="37">
        <v>0</v>
      </c>
      <c r="BF332" s="37">
        <f>332</f>
        <v>332</v>
      </c>
      <c r="BH332" s="37">
        <f t="shared" si="289"/>
        <v>0</v>
      </c>
      <c r="BI332" s="37">
        <f t="shared" si="290"/>
        <v>0</v>
      </c>
      <c r="BJ332" s="37">
        <f t="shared" si="291"/>
        <v>0</v>
      </c>
      <c r="BK332" s="37"/>
      <c r="BL332" s="37">
        <v>96</v>
      </c>
      <c r="BW332" s="37">
        <v>21</v>
      </c>
      <c r="BX332" s="3" t="s">
        <v>1086</v>
      </c>
    </row>
    <row r="333" spans="1:76" x14ac:dyDescent="0.25">
      <c r="A333" s="1" t="s">
        <v>1087</v>
      </c>
      <c r="B333" s="2" t="s">
        <v>1088</v>
      </c>
      <c r="C333" s="258" t="s">
        <v>1089</v>
      </c>
      <c r="D333" s="259"/>
      <c r="E333" s="2" t="s">
        <v>266</v>
      </c>
      <c r="F333" s="37">
        <v>0.61343000000000003</v>
      </c>
      <c r="G333" s="66">
        <v>0</v>
      </c>
      <c r="H333" s="37">
        <f t="shared" si="270"/>
        <v>0</v>
      </c>
      <c r="I333" s="37">
        <f t="shared" si="271"/>
        <v>0</v>
      </c>
      <c r="J333" s="37">
        <f t="shared" si="272"/>
        <v>0</v>
      </c>
      <c r="K333" s="67" t="s">
        <v>217</v>
      </c>
      <c r="Z333" s="37">
        <f t="shared" si="273"/>
        <v>0</v>
      </c>
      <c r="AB333" s="37">
        <f t="shared" si="274"/>
        <v>0</v>
      </c>
      <c r="AC333" s="37">
        <f t="shared" si="275"/>
        <v>0</v>
      </c>
      <c r="AD333" s="37">
        <f t="shared" si="276"/>
        <v>0</v>
      </c>
      <c r="AE333" s="37">
        <f t="shared" si="277"/>
        <v>0</v>
      </c>
      <c r="AF333" s="37">
        <f t="shared" si="278"/>
        <v>0</v>
      </c>
      <c r="AG333" s="37">
        <f t="shared" si="279"/>
        <v>0</v>
      </c>
      <c r="AH333" s="37">
        <f t="shared" si="280"/>
        <v>0</v>
      </c>
      <c r="AI333" s="49" t="s">
        <v>89</v>
      </c>
      <c r="AJ333" s="37">
        <f t="shared" si="281"/>
        <v>0</v>
      </c>
      <c r="AK333" s="37">
        <f t="shared" si="282"/>
        <v>0</v>
      </c>
      <c r="AL333" s="37">
        <f t="shared" si="283"/>
        <v>0</v>
      </c>
      <c r="AN333" s="37">
        <v>21</v>
      </c>
      <c r="AO333" s="37">
        <f t="shared" ref="AO333:AO340" si="296">G333*0</f>
        <v>0</v>
      </c>
      <c r="AP333" s="37">
        <f t="shared" ref="AP333:AP340" si="297">G333*(1-0)</f>
        <v>0</v>
      </c>
      <c r="AQ333" s="68" t="s">
        <v>231</v>
      </c>
      <c r="AV333" s="37">
        <f t="shared" si="284"/>
        <v>0</v>
      </c>
      <c r="AW333" s="37">
        <f t="shared" si="285"/>
        <v>0</v>
      </c>
      <c r="AX333" s="37">
        <f t="shared" si="286"/>
        <v>0</v>
      </c>
      <c r="AY333" s="68" t="s">
        <v>978</v>
      </c>
      <c r="AZ333" s="68" t="s">
        <v>924</v>
      </c>
      <c r="BA333" s="49" t="s">
        <v>220</v>
      </c>
      <c r="BC333" s="37">
        <f t="shared" si="287"/>
        <v>0</v>
      </c>
      <c r="BD333" s="37">
        <f t="shared" si="288"/>
        <v>0</v>
      </c>
      <c r="BE333" s="37">
        <v>0</v>
      </c>
      <c r="BF333" s="37">
        <f>333</f>
        <v>333</v>
      </c>
      <c r="BH333" s="37">
        <f t="shared" si="289"/>
        <v>0</v>
      </c>
      <c r="BI333" s="37">
        <f t="shared" si="290"/>
        <v>0</v>
      </c>
      <c r="BJ333" s="37">
        <f t="shared" si="291"/>
        <v>0</v>
      </c>
      <c r="BK333" s="37"/>
      <c r="BL333" s="37">
        <v>96</v>
      </c>
      <c r="BW333" s="37">
        <v>21</v>
      </c>
      <c r="BX333" s="3" t="s">
        <v>1089</v>
      </c>
    </row>
    <row r="334" spans="1:76" x14ac:dyDescent="0.25">
      <c r="A334" s="1" t="s">
        <v>1090</v>
      </c>
      <c r="B334" s="2" t="s">
        <v>1091</v>
      </c>
      <c r="C334" s="258" t="s">
        <v>1092</v>
      </c>
      <c r="D334" s="259"/>
      <c r="E334" s="2" t="s">
        <v>251</v>
      </c>
      <c r="F334" s="37">
        <v>23.39</v>
      </c>
      <c r="G334" s="66">
        <v>0</v>
      </c>
      <c r="H334" s="37">
        <f t="shared" si="270"/>
        <v>0</v>
      </c>
      <c r="I334" s="37">
        <f t="shared" si="271"/>
        <v>0</v>
      </c>
      <c r="J334" s="37">
        <f t="shared" si="272"/>
        <v>0</v>
      </c>
      <c r="K334" s="67" t="s">
        <v>217</v>
      </c>
      <c r="Z334" s="37">
        <f t="shared" si="273"/>
        <v>0</v>
      </c>
      <c r="AB334" s="37">
        <f t="shared" si="274"/>
        <v>0</v>
      </c>
      <c r="AC334" s="37">
        <f t="shared" si="275"/>
        <v>0</v>
      </c>
      <c r="AD334" s="37">
        <f t="shared" si="276"/>
        <v>0</v>
      </c>
      <c r="AE334" s="37">
        <f t="shared" si="277"/>
        <v>0</v>
      </c>
      <c r="AF334" s="37">
        <f t="shared" si="278"/>
        <v>0</v>
      </c>
      <c r="AG334" s="37">
        <f t="shared" si="279"/>
        <v>0</v>
      </c>
      <c r="AH334" s="37">
        <f t="shared" si="280"/>
        <v>0</v>
      </c>
      <c r="AI334" s="49" t="s">
        <v>89</v>
      </c>
      <c r="AJ334" s="37">
        <f t="shared" si="281"/>
        <v>0</v>
      </c>
      <c r="AK334" s="37">
        <f t="shared" si="282"/>
        <v>0</v>
      </c>
      <c r="AL334" s="37">
        <f t="shared" si="283"/>
        <v>0</v>
      </c>
      <c r="AN334" s="37">
        <v>21</v>
      </c>
      <c r="AO334" s="37">
        <f t="shared" si="296"/>
        <v>0</v>
      </c>
      <c r="AP334" s="37">
        <f t="shared" si="297"/>
        <v>0</v>
      </c>
      <c r="AQ334" s="68" t="s">
        <v>213</v>
      </c>
      <c r="AV334" s="37">
        <f t="shared" si="284"/>
        <v>0</v>
      </c>
      <c r="AW334" s="37">
        <f t="shared" si="285"/>
        <v>0</v>
      </c>
      <c r="AX334" s="37">
        <f t="shared" si="286"/>
        <v>0</v>
      </c>
      <c r="AY334" s="68" t="s">
        <v>978</v>
      </c>
      <c r="AZ334" s="68" t="s">
        <v>924</v>
      </c>
      <c r="BA334" s="49" t="s">
        <v>220</v>
      </c>
      <c r="BC334" s="37">
        <f t="shared" si="287"/>
        <v>0</v>
      </c>
      <c r="BD334" s="37">
        <f t="shared" si="288"/>
        <v>0</v>
      </c>
      <c r="BE334" s="37">
        <v>0</v>
      </c>
      <c r="BF334" s="37">
        <f>334</f>
        <v>334</v>
      </c>
      <c r="BH334" s="37">
        <f t="shared" si="289"/>
        <v>0</v>
      </c>
      <c r="BI334" s="37">
        <f t="shared" si="290"/>
        <v>0</v>
      </c>
      <c r="BJ334" s="37">
        <f t="shared" si="291"/>
        <v>0</v>
      </c>
      <c r="BK334" s="37"/>
      <c r="BL334" s="37">
        <v>96</v>
      </c>
      <c r="BW334" s="37">
        <v>21</v>
      </c>
      <c r="BX334" s="3" t="s">
        <v>1092</v>
      </c>
    </row>
    <row r="335" spans="1:76" x14ac:dyDescent="0.25">
      <c r="A335" s="1" t="s">
        <v>1093</v>
      </c>
      <c r="B335" s="2" t="s">
        <v>1094</v>
      </c>
      <c r="C335" s="258" t="s">
        <v>1095</v>
      </c>
      <c r="D335" s="259"/>
      <c r="E335" s="2" t="s">
        <v>266</v>
      </c>
      <c r="F335" s="37">
        <v>8.1869999999999998E-2</v>
      </c>
      <c r="G335" s="66">
        <v>0</v>
      </c>
      <c r="H335" s="37">
        <f t="shared" si="270"/>
        <v>0</v>
      </c>
      <c r="I335" s="37">
        <f t="shared" si="271"/>
        <v>0</v>
      </c>
      <c r="J335" s="37">
        <f t="shared" si="272"/>
        <v>0</v>
      </c>
      <c r="K335" s="67" t="s">
        <v>217</v>
      </c>
      <c r="Z335" s="37">
        <f t="shared" si="273"/>
        <v>0</v>
      </c>
      <c r="AB335" s="37">
        <f t="shared" si="274"/>
        <v>0</v>
      </c>
      <c r="AC335" s="37">
        <f t="shared" si="275"/>
        <v>0</v>
      </c>
      <c r="AD335" s="37">
        <f t="shared" si="276"/>
        <v>0</v>
      </c>
      <c r="AE335" s="37">
        <f t="shared" si="277"/>
        <v>0</v>
      </c>
      <c r="AF335" s="37">
        <f t="shared" si="278"/>
        <v>0</v>
      </c>
      <c r="AG335" s="37">
        <f t="shared" si="279"/>
        <v>0</v>
      </c>
      <c r="AH335" s="37">
        <f t="shared" si="280"/>
        <v>0</v>
      </c>
      <c r="AI335" s="49" t="s">
        <v>89</v>
      </c>
      <c r="AJ335" s="37">
        <f t="shared" si="281"/>
        <v>0</v>
      </c>
      <c r="AK335" s="37">
        <f t="shared" si="282"/>
        <v>0</v>
      </c>
      <c r="AL335" s="37">
        <f t="shared" si="283"/>
        <v>0</v>
      </c>
      <c r="AN335" s="37">
        <v>21</v>
      </c>
      <c r="AO335" s="37">
        <f t="shared" si="296"/>
        <v>0</v>
      </c>
      <c r="AP335" s="37">
        <f t="shared" si="297"/>
        <v>0</v>
      </c>
      <c r="AQ335" s="68" t="s">
        <v>231</v>
      </c>
      <c r="AV335" s="37">
        <f t="shared" si="284"/>
        <v>0</v>
      </c>
      <c r="AW335" s="37">
        <f t="shared" si="285"/>
        <v>0</v>
      </c>
      <c r="AX335" s="37">
        <f t="shared" si="286"/>
        <v>0</v>
      </c>
      <c r="AY335" s="68" t="s">
        <v>978</v>
      </c>
      <c r="AZ335" s="68" t="s">
        <v>924</v>
      </c>
      <c r="BA335" s="49" t="s">
        <v>220</v>
      </c>
      <c r="BC335" s="37">
        <f t="shared" si="287"/>
        <v>0</v>
      </c>
      <c r="BD335" s="37">
        <f t="shared" si="288"/>
        <v>0</v>
      </c>
      <c r="BE335" s="37">
        <v>0</v>
      </c>
      <c r="BF335" s="37">
        <f>335</f>
        <v>335</v>
      </c>
      <c r="BH335" s="37">
        <f t="shared" si="289"/>
        <v>0</v>
      </c>
      <c r="BI335" s="37">
        <f t="shared" si="290"/>
        <v>0</v>
      </c>
      <c r="BJ335" s="37">
        <f t="shared" si="291"/>
        <v>0</v>
      </c>
      <c r="BK335" s="37"/>
      <c r="BL335" s="37">
        <v>96</v>
      </c>
      <c r="BW335" s="37">
        <v>21</v>
      </c>
      <c r="BX335" s="3" t="s">
        <v>1095</v>
      </c>
    </row>
    <row r="336" spans="1:76" x14ac:dyDescent="0.25">
      <c r="A336" s="1" t="s">
        <v>1096</v>
      </c>
      <c r="B336" s="2" t="s">
        <v>1097</v>
      </c>
      <c r="C336" s="258" t="s">
        <v>1098</v>
      </c>
      <c r="D336" s="259"/>
      <c r="E336" s="2" t="s">
        <v>266</v>
      </c>
      <c r="F336" s="37">
        <v>39.412509999999997</v>
      </c>
      <c r="G336" s="66">
        <v>0</v>
      </c>
      <c r="H336" s="37">
        <f t="shared" si="270"/>
        <v>0</v>
      </c>
      <c r="I336" s="37">
        <f t="shared" si="271"/>
        <v>0</v>
      </c>
      <c r="J336" s="37">
        <f t="shared" si="272"/>
        <v>0</v>
      </c>
      <c r="K336" s="67" t="s">
        <v>217</v>
      </c>
      <c r="Z336" s="37">
        <f t="shared" si="273"/>
        <v>0</v>
      </c>
      <c r="AB336" s="37">
        <f t="shared" si="274"/>
        <v>0</v>
      </c>
      <c r="AC336" s="37">
        <f t="shared" si="275"/>
        <v>0</v>
      </c>
      <c r="AD336" s="37">
        <f t="shared" si="276"/>
        <v>0</v>
      </c>
      <c r="AE336" s="37">
        <f t="shared" si="277"/>
        <v>0</v>
      </c>
      <c r="AF336" s="37">
        <f t="shared" si="278"/>
        <v>0</v>
      </c>
      <c r="AG336" s="37">
        <f t="shared" si="279"/>
        <v>0</v>
      </c>
      <c r="AH336" s="37">
        <f t="shared" si="280"/>
        <v>0</v>
      </c>
      <c r="AI336" s="49" t="s">
        <v>89</v>
      </c>
      <c r="AJ336" s="37">
        <f t="shared" si="281"/>
        <v>0</v>
      </c>
      <c r="AK336" s="37">
        <f t="shared" si="282"/>
        <v>0</v>
      </c>
      <c r="AL336" s="37">
        <f t="shared" si="283"/>
        <v>0</v>
      </c>
      <c r="AN336" s="37">
        <v>21</v>
      </c>
      <c r="AO336" s="37">
        <f t="shared" si="296"/>
        <v>0</v>
      </c>
      <c r="AP336" s="37">
        <f t="shared" si="297"/>
        <v>0</v>
      </c>
      <c r="AQ336" s="68" t="s">
        <v>231</v>
      </c>
      <c r="AV336" s="37">
        <f t="shared" si="284"/>
        <v>0</v>
      </c>
      <c r="AW336" s="37">
        <f t="shared" si="285"/>
        <v>0</v>
      </c>
      <c r="AX336" s="37">
        <f t="shared" si="286"/>
        <v>0</v>
      </c>
      <c r="AY336" s="68" t="s">
        <v>978</v>
      </c>
      <c r="AZ336" s="68" t="s">
        <v>924</v>
      </c>
      <c r="BA336" s="49" t="s">
        <v>220</v>
      </c>
      <c r="BC336" s="37">
        <f t="shared" si="287"/>
        <v>0</v>
      </c>
      <c r="BD336" s="37">
        <f t="shared" si="288"/>
        <v>0</v>
      </c>
      <c r="BE336" s="37">
        <v>0</v>
      </c>
      <c r="BF336" s="37">
        <f>336</f>
        <v>336</v>
      </c>
      <c r="BH336" s="37">
        <f t="shared" si="289"/>
        <v>0</v>
      </c>
      <c r="BI336" s="37">
        <f t="shared" si="290"/>
        <v>0</v>
      </c>
      <c r="BJ336" s="37">
        <f t="shared" si="291"/>
        <v>0</v>
      </c>
      <c r="BK336" s="37"/>
      <c r="BL336" s="37">
        <v>96</v>
      </c>
      <c r="BW336" s="37">
        <v>21</v>
      </c>
      <c r="BX336" s="3" t="s">
        <v>1098</v>
      </c>
    </row>
    <row r="337" spans="1:76" x14ac:dyDescent="0.25">
      <c r="A337" s="1" t="s">
        <v>1099</v>
      </c>
      <c r="B337" s="2" t="s">
        <v>1100</v>
      </c>
      <c r="C337" s="258" t="s">
        <v>1101</v>
      </c>
      <c r="D337" s="259"/>
      <c r="E337" s="2" t="s">
        <v>266</v>
      </c>
      <c r="F337" s="37">
        <v>39.412509999999997</v>
      </c>
      <c r="G337" s="66">
        <v>0</v>
      </c>
      <c r="H337" s="37">
        <f t="shared" si="270"/>
        <v>0</v>
      </c>
      <c r="I337" s="37">
        <f t="shared" si="271"/>
        <v>0</v>
      </c>
      <c r="J337" s="37">
        <f t="shared" si="272"/>
        <v>0</v>
      </c>
      <c r="K337" s="67" t="s">
        <v>217</v>
      </c>
      <c r="Z337" s="37">
        <f t="shared" si="273"/>
        <v>0</v>
      </c>
      <c r="AB337" s="37">
        <f t="shared" si="274"/>
        <v>0</v>
      </c>
      <c r="AC337" s="37">
        <f t="shared" si="275"/>
        <v>0</v>
      </c>
      <c r="AD337" s="37">
        <f t="shared" si="276"/>
        <v>0</v>
      </c>
      <c r="AE337" s="37">
        <f t="shared" si="277"/>
        <v>0</v>
      </c>
      <c r="AF337" s="37">
        <f t="shared" si="278"/>
        <v>0</v>
      </c>
      <c r="AG337" s="37">
        <f t="shared" si="279"/>
        <v>0</v>
      </c>
      <c r="AH337" s="37">
        <f t="shared" si="280"/>
        <v>0</v>
      </c>
      <c r="AI337" s="49" t="s">
        <v>89</v>
      </c>
      <c r="AJ337" s="37">
        <f t="shared" si="281"/>
        <v>0</v>
      </c>
      <c r="AK337" s="37">
        <f t="shared" si="282"/>
        <v>0</v>
      </c>
      <c r="AL337" s="37">
        <f t="shared" si="283"/>
        <v>0</v>
      </c>
      <c r="AN337" s="37">
        <v>21</v>
      </c>
      <c r="AO337" s="37">
        <f t="shared" si="296"/>
        <v>0</v>
      </c>
      <c r="AP337" s="37">
        <f t="shared" si="297"/>
        <v>0</v>
      </c>
      <c r="AQ337" s="68" t="s">
        <v>231</v>
      </c>
      <c r="AV337" s="37">
        <f t="shared" si="284"/>
        <v>0</v>
      </c>
      <c r="AW337" s="37">
        <f t="shared" si="285"/>
        <v>0</v>
      </c>
      <c r="AX337" s="37">
        <f t="shared" si="286"/>
        <v>0</v>
      </c>
      <c r="AY337" s="68" t="s">
        <v>978</v>
      </c>
      <c r="AZ337" s="68" t="s">
        <v>924</v>
      </c>
      <c r="BA337" s="49" t="s">
        <v>220</v>
      </c>
      <c r="BC337" s="37">
        <f t="shared" si="287"/>
        <v>0</v>
      </c>
      <c r="BD337" s="37">
        <f t="shared" si="288"/>
        <v>0</v>
      </c>
      <c r="BE337" s="37">
        <v>0</v>
      </c>
      <c r="BF337" s="37">
        <f>337</f>
        <v>337</v>
      </c>
      <c r="BH337" s="37">
        <f t="shared" si="289"/>
        <v>0</v>
      </c>
      <c r="BI337" s="37">
        <f t="shared" si="290"/>
        <v>0</v>
      </c>
      <c r="BJ337" s="37">
        <f t="shared" si="291"/>
        <v>0</v>
      </c>
      <c r="BK337" s="37"/>
      <c r="BL337" s="37">
        <v>96</v>
      </c>
      <c r="BW337" s="37">
        <v>21</v>
      </c>
      <c r="BX337" s="3" t="s">
        <v>1101</v>
      </c>
    </row>
    <row r="338" spans="1:76" x14ac:dyDescent="0.25">
      <c r="A338" s="1" t="s">
        <v>1102</v>
      </c>
      <c r="B338" s="2" t="s">
        <v>1103</v>
      </c>
      <c r="C338" s="258" t="s">
        <v>1104</v>
      </c>
      <c r="D338" s="259"/>
      <c r="E338" s="2" t="s">
        <v>266</v>
      </c>
      <c r="F338" s="37">
        <v>788.25019999999995</v>
      </c>
      <c r="G338" s="66">
        <v>0</v>
      </c>
      <c r="H338" s="37">
        <f t="shared" si="270"/>
        <v>0</v>
      </c>
      <c r="I338" s="37">
        <f t="shared" si="271"/>
        <v>0</v>
      </c>
      <c r="J338" s="37">
        <f t="shared" si="272"/>
        <v>0</v>
      </c>
      <c r="K338" s="67" t="s">
        <v>217</v>
      </c>
      <c r="Z338" s="37">
        <f t="shared" si="273"/>
        <v>0</v>
      </c>
      <c r="AB338" s="37">
        <f t="shared" si="274"/>
        <v>0</v>
      </c>
      <c r="AC338" s="37">
        <f t="shared" si="275"/>
        <v>0</v>
      </c>
      <c r="AD338" s="37">
        <f t="shared" si="276"/>
        <v>0</v>
      </c>
      <c r="AE338" s="37">
        <f t="shared" si="277"/>
        <v>0</v>
      </c>
      <c r="AF338" s="37">
        <f t="shared" si="278"/>
        <v>0</v>
      </c>
      <c r="AG338" s="37">
        <f t="shared" si="279"/>
        <v>0</v>
      </c>
      <c r="AH338" s="37">
        <f t="shared" si="280"/>
        <v>0</v>
      </c>
      <c r="AI338" s="49" t="s">
        <v>89</v>
      </c>
      <c r="AJ338" s="37">
        <f t="shared" si="281"/>
        <v>0</v>
      </c>
      <c r="AK338" s="37">
        <f t="shared" si="282"/>
        <v>0</v>
      </c>
      <c r="AL338" s="37">
        <f t="shared" si="283"/>
        <v>0</v>
      </c>
      <c r="AN338" s="37">
        <v>21</v>
      </c>
      <c r="AO338" s="37">
        <f t="shared" si="296"/>
        <v>0</v>
      </c>
      <c r="AP338" s="37">
        <f t="shared" si="297"/>
        <v>0</v>
      </c>
      <c r="AQ338" s="68" t="s">
        <v>231</v>
      </c>
      <c r="AV338" s="37">
        <f t="shared" si="284"/>
        <v>0</v>
      </c>
      <c r="AW338" s="37">
        <f t="shared" si="285"/>
        <v>0</v>
      </c>
      <c r="AX338" s="37">
        <f t="shared" si="286"/>
        <v>0</v>
      </c>
      <c r="AY338" s="68" t="s">
        <v>978</v>
      </c>
      <c r="AZ338" s="68" t="s">
        <v>924</v>
      </c>
      <c r="BA338" s="49" t="s">
        <v>220</v>
      </c>
      <c r="BC338" s="37">
        <f t="shared" si="287"/>
        <v>0</v>
      </c>
      <c r="BD338" s="37">
        <f t="shared" si="288"/>
        <v>0</v>
      </c>
      <c r="BE338" s="37">
        <v>0</v>
      </c>
      <c r="BF338" s="37">
        <f>338</f>
        <v>338</v>
      </c>
      <c r="BH338" s="37">
        <f t="shared" si="289"/>
        <v>0</v>
      </c>
      <c r="BI338" s="37">
        <f t="shared" si="290"/>
        <v>0</v>
      </c>
      <c r="BJ338" s="37">
        <f t="shared" si="291"/>
        <v>0</v>
      </c>
      <c r="BK338" s="37"/>
      <c r="BL338" s="37">
        <v>96</v>
      </c>
      <c r="BW338" s="37">
        <v>21</v>
      </c>
      <c r="BX338" s="3" t="s">
        <v>1104</v>
      </c>
    </row>
    <row r="339" spans="1:76" x14ac:dyDescent="0.25">
      <c r="A339" s="1" t="s">
        <v>1105</v>
      </c>
      <c r="B339" s="2" t="s">
        <v>1106</v>
      </c>
      <c r="C339" s="258" t="s">
        <v>1107</v>
      </c>
      <c r="D339" s="259"/>
      <c r="E339" s="2" t="s">
        <v>266</v>
      </c>
      <c r="F339" s="37">
        <v>39.412509999999997</v>
      </c>
      <c r="G339" s="66">
        <v>0</v>
      </c>
      <c r="H339" s="37">
        <f t="shared" si="270"/>
        <v>0</v>
      </c>
      <c r="I339" s="37">
        <f t="shared" si="271"/>
        <v>0</v>
      </c>
      <c r="J339" s="37">
        <f t="shared" si="272"/>
        <v>0</v>
      </c>
      <c r="K339" s="67" t="s">
        <v>217</v>
      </c>
      <c r="Z339" s="37">
        <f t="shared" si="273"/>
        <v>0</v>
      </c>
      <c r="AB339" s="37">
        <f t="shared" si="274"/>
        <v>0</v>
      </c>
      <c r="AC339" s="37">
        <f t="shared" si="275"/>
        <v>0</v>
      </c>
      <c r="AD339" s="37">
        <f t="shared" si="276"/>
        <v>0</v>
      </c>
      <c r="AE339" s="37">
        <f t="shared" si="277"/>
        <v>0</v>
      </c>
      <c r="AF339" s="37">
        <f t="shared" si="278"/>
        <v>0</v>
      </c>
      <c r="AG339" s="37">
        <f t="shared" si="279"/>
        <v>0</v>
      </c>
      <c r="AH339" s="37">
        <f t="shared" si="280"/>
        <v>0</v>
      </c>
      <c r="AI339" s="49" t="s">
        <v>89</v>
      </c>
      <c r="AJ339" s="37">
        <f t="shared" si="281"/>
        <v>0</v>
      </c>
      <c r="AK339" s="37">
        <f t="shared" si="282"/>
        <v>0</v>
      </c>
      <c r="AL339" s="37">
        <f t="shared" si="283"/>
        <v>0</v>
      </c>
      <c r="AN339" s="37">
        <v>21</v>
      </c>
      <c r="AO339" s="37">
        <f t="shared" si="296"/>
        <v>0</v>
      </c>
      <c r="AP339" s="37">
        <f t="shared" si="297"/>
        <v>0</v>
      </c>
      <c r="AQ339" s="68" t="s">
        <v>231</v>
      </c>
      <c r="AV339" s="37">
        <f t="shared" si="284"/>
        <v>0</v>
      </c>
      <c r="AW339" s="37">
        <f t="shared" si="285"/>
        <v>0</v>
      </c>
      <c r="AX339" s="37">
        <f t="shared" si="286"/>
        <v>0</v>
      </c>
      <c r="AY339" s="68" t="s">
        <v>978</v>
      </c>
      <c r="AZ339" s="68" t="s">
        <v>924</v>
      </c>
      <c r="BA339" s="49" t="s">
        <v>220</v>
      </c>
      <c r="BC339" s="37">
        <f t="shared" si="287"/>
        <v>0</v>
      </c>
      <c r="BD339" s="37">
        <f t="shared" si="288"/>
        <v>0</v>
      </c>
      <c r="BE339" s="37">
        <v>0</v>
      </c>
      <c r="BF339" s="37">
        <f>339</f>
        <v>339</v>
      </c>
      <c r="BH339" s="37">
        <f t="shared" si="289"/>
        <v>0</v>
      </c>
      <c r="BI339" s="37">
        <f t="shared" si="290"/>
        <v>0</v>
      </c>
      <c r="BJ339" s="37">
        <f t="shared" si="291"/>
        <v>0</v>
      </c>
      <c r="BK339" s="37"/>
      <c r="BL339" s="37">
        <v>96</v>
      </c>
      <c r="BW339" s="37">
        <v>21</v>
      </c>
      <c r="BX339" s="3" t="s">
        <v>1107</v>
      </c>
    </row>
    <row r="340" spans="1:76" x14ac:dyDescent="0.25">
      <c r="A340" s="1" t="s">
        <v>1108</v>
      </c>
      <c r="B340" s="2" t="s">
        <v>1109</v>
      </c>
      <c r="C340" s="258" t="s">
        <v>1110</v>
      </c>
      <c r="D340" s="259"/>
      <c r="E340" s="2" t="s">
        <v>266</v>
      </c>
      <c r="F340" s="37">
        <v>39.412509999999997</v>
      </c>
      <c r="G340" s="66">
        <v>0</v>
      </c>
      <c r="H340" s="37">
        <f t="shared" si="270"/>
        <v>0</v>
      </c>
      <c r="I340" s="37">
        <f t="shared" si="271"/>
        <v>0</v>
      </c>
      <c r="J340" s="37">
        <f t="shared" si="272"/>
        <v>0</v>
      </c>
      <c r="K340" s="67" t="s">
        <v>217</v>
      </c>
      <c r="Z340" s="37">
        <f t="shared" si="273"/>
        <v>0</v>
      </c>
      <c r="AB340" s="37">
        <f t="shared" si="274"/>
        <v>0</v>
      </c>
      <c r="AC340" s="37">
        <f t="shared" si="275"/>
        <v>0</v>
      </c>
      <c r="AD340" s="37">
        <f t="shared" si="276"/>
        <v>0</v>
      </c>
      <c r="AE340" s="37">
        <f t="shared" si="277"/>
        <v>0</v>
      </c>
      <c r="AF340" s="37">
        <f t="shared" si="278"/>
        <v>0</v>
      </c>
      <c r="AG340" s="37">
        <f t="shared" si="279"/>
        <v>0</v>
      </c>
      <c r="AH340" s="37">
        <f t="shared" si="280"/>
        <v>0</v>
      </c>
      <c r="AI340" s="49" t="s">
        <v>89</v>
      </c>
      <c r="AJ340" s="37">
        <f t="shared" si="281"/>
        <v>0</v>
      </c>
      <c r="AK340" s="37">
        <f t="shared" si="282"/>
        <v>0</v>
      </c>
      <c r="AL340" s="37">
        <f t="shared" si="283"/>
        <v>0</v>
      </c>
      <c r="AN340" s="37">
        <v>21</v>
      </c>
      <c r="AO340" s="37">
        <f t="shared" si="296"/>
        <v>0</v>
      </c>
      <c r="AP340" s="37">
        <f t="shared" si="297"/>
        <v>0</v>
      </c>
      <c r="AQ340" s="68" t="s">
        <v>231</v>
      </c>
      <c r="AV340" s="37">
        <f t="shared" si="284"/>
        <v>0</v>
      </c>
      <c r="AW340" s="37">
        <f t="shared" si="285"/>
        <v>0</v>
      </c>
      <c r="AX340" s="37">
        <f t="shared" si="286"/>
        <v>0</v>
      </c>
      <c r="AY340" s="68" t="s">
        <v>978</v>
      </c>
      <c r="AZ340" s="68" t="s">
        <v>924</v>
      </c>
      <c r="BA340" s="49" t="s">
        <v>220</v>
      </c>
      <c r="BC340" s="37">
        <f t="shared" si="287"/>
        <v>0</v>
      </c>
      <c r="BD340" s="37">
        <f t="shared" si="288"/>
        <v>0</v>
      </c>
      <c r="BE340" s="37">
        <v>0</v>
      </c>
      <c r="BF340" s="37">
        <f>340</f>
        <v>340</v>
      </c>
      <c r="BH340" s="37">
        <f t="shared" si="289"/>
        <v>0</v>
      </c>
      <c r="BI340" s="37">
        <f t="shared" si="290"/>
        <v>0</v>
      </c>
      <c r="BJ340" s="37">
        <f t="shared" si="291"/>
        <v>0</v>
      </c>
      <c r="BK340" s="37"/>
      <c r="BL340" s="37">
        <v>96</v>
      </c>
      <c r="BW340" s="37">
        <v>21</v>
      </c>
      <c r="BX340" s="3" t="s">
        <v>1110</v>
      </c>
    </row>
    <row r="341" spans="1:76" x14ac:dyDescent="0.25">
      <c r="A341" s="61" t="s">
        <v>4</v>
      </c>
      <c r="B341" s="62" t="s">
        <v>173</v>
      </c>
      <c r="C341" s="343" t="s">
        <v>174</v>
      </c>
      <c r="D341" s="344"/>
      <c r="E341" s="63" t="s">
        <v>81</v>
      </c>
      <c r="F341" s="63" t="s">
        <v>81</v>
      </c>
      <c r="G341" s="64" t="s">
        <v>81</v>
      </c>
      <c r="H341" s="43">
        <f>SUM(H342:H342)</f>
        <v>0</v>
      </c>
      <c r="I341" s="43">
        <f>SUM(I342:I342)</f>
        <v>0</v>
      </c>
      <c r="J341" s="43">
        <f>SUM(J342:J342)</f>
        <v>0</v>
      </c>
      <c r="K341" s="65" t="s">
        <v>4</v>
      </c>
      <c r="AI341" s="49" t="s">
        <v>89</v>
      </c>
      <c r="AS341" s="43">
        <f>SUM(AJ342:AJ342)</f>
        <v>0</v>
      </c>
      <c r="AT341" s="43">
        <f>SUM(AK342:AK342)</f>
        <v>0</v>
      </c>
      <c r="AU341" s="43">
        <f>SUM(AL342:AL342)</f>
        <v>0</v>
      </c>
    </row>
    <row r="342" spans="1:76" x14ac:dyDescent="0.25">
      <c r="A342" s="1" t="s">
        <v>1111</v>
      </c>
      <c r="B342" s="2" t="s">
        <v>1112</v>
      </c>
      <c r="C342" s="258" t="s">
        <v>1113</v>
      </c>
      <c r="D342" s="259"/>
      <c r="E342" s="2" t="s">
        <v>644</v>
      </c>
      <c r="F342" s="37">
        <v>1</v>
      </c>
      <c r="G342" s="66">
        <f>Elektroinstalace!J28</f>
        <v>0</v>
      </c>
      <c r="H342" s="37">
        <f>F342*AO342</f>
        <v>0</v>
      </c>
      <c r="I342" s="37">
        <f>F342*AP342</f>
        <v>0</v>
      </c>
      <c r="J342" s="37">
        <f>F342*G342</f>
        <v>0</v>
      </c>
      <c r="K342" s="67" t="s">
        <v>327</v>
      </c>
      <c r="Z342" s="37">
        <f>IF(AQ342="5",BJ342,0)</f>
        <v>0</v>
      </c>
      <c r="AB342" s="37">
        <f>IF(AQ342="1",BH342,0)</f>
        <v>0</v>
      </c>
      <c r="AC342" s="37">
        <f>IF(AQ342="1",BI342,0)</f>
        <v>0</v>
      </c>
      <c r="AD342" s="37">
        <f>IF(AQ342="7",BH342,0)</f>
        <v>0</v>
      </c>
      <c r="AE342" s="37">
        <f>IF(AQ342="7",BI342,0)</f>
        <v>0</v>
      </c>
      <c r="AF342" s="37">
        <f>IF(AQ342="2",BH342,0)</f>
        <v>0</v>
      </c>
      <c r="AG342" s="37">
        <f>IF(AQ342="2",BI342,0)</f>
        <v>0</v>
      </c>
      <c r="AH342" s="37">
        <f>IF(AQ342="0",BJ342,0)</f>
        <v>0</v>
      </c>
      <c r="AI342" s="49" t="s">
        <v>89</v>
      </c>
      <c r="AJ342" s="37">
        <f>IF(AN342=0,J342,0)</f>
        <v>0</v>
      </c>
      <c r="AK342" s="37">
        <f>IF(AN342=12,J342,0)</f>
        <v>0</v>
      </c>
      <c r="AL342" s="37">
        <f>IF(AN342=21,J342,0)</f>
        <v>0</v>
      </c>
      <c r="AN342" s="37">
        <v>21</v>
      </c>
      <c r="AO342" s="37">
        <f>G342*0</f>
        <v>0</v>
      </c>
      <c r="AP342" s="37">
        <f>G342*(1-0)</f>
        <v>0</v>
      </c>
      <c r="AQ342" s="68" t="s">
        <v>221</v>
      </c>
      <c r="AV342" s="37">
        <f>AW342+AX342</f>
        <v>0</v>
      </c>
      <c r="AW342" s="37">
        <f>F342*AO342</f>
        <v>0</v>
      </c>
      <c r="AX342" s="37">
        <f>F342*AP342</f>
        <v>0</v>
      </c>
      <c r="AY342" s="68" t="s">
        <v>1114</v>
      </c>
      <c r="AZ342" s="68" t="s">
        <v>924</v>
      </c>
      <c r="BA342" s="49" t="s">
        <v>220</v>
      </c>
      <c r="BC342" s="37">
        <f>AW342+AX342</f>
        <v>0</v>
      </c>
      <c r="BD342" s="37">
        <f>G342/(100-BE342)*100</f>
        <v>0</v>
      </c>
      <c r="BE342" s="37">
        <v>0</v>
      </c>
      <c r="BF342" s="37">
        <f>342</f>
        <v>342</v>
      </c>
      <c r="BH342" s="37">
        <f>F342*AO342</f>
        <v>0</v>
      </c>
      <c r="BI342" s="37">
        <f>F342*AP342</f>
        <v>0</v>
      </c>
      <c r="BJ342" s="37">
        <f>F342*G342</f>
        <v>0</v>
      </c>
      <c r="BK342" s="37"/>
      <c r="BL342" s="37"/>
      <c r="BW342" s="37">
        <v>21</v>
      </c>
      <c r="BX342" s="3" t="s">
        <v>1113</v>
      </c>
    </row>
    <row r="343" spans="1:76" x14ac:dyDescent="0.25">
      <c r="A343" s="61" t="s">
        <v>4</v>
      </c>
      <c r="B343" s="62" t="s">
        <v>175</v>
      </c>
      <c r="C343" s="343" t="s">
        <v>59</v>
      </c>
      <c r="D343" s="344"/>
      <c r="E343" s="63" t="s">
        <v>81</v>
      </c>
      <c r="F343" s="63" t="s">
        <v>81</v>
      </c>
      <c r="G343" s="64" t="s">
        <v>81</v>
      </c>
      <c r="H343" s="43">
        <f>H344+H347+H349+H351</f>
        <v>0</v>
      </c>
      <c r="I343" s="43">
        <f>I344+I347+I349+I351</f>
        <v>0</v>
      </c>
      <c r="J343" s="43">
        <f>J344+J347+J349+J351</f>
        <v>0</v>
      </c>
      <c r="K343" s="65" t="s">
        <v>4</v>
      </c>
      <c r="AI343" s="49" t="s">
        <v>89</v>
      </c>
    </row>
    <row r="344" spans="1:76" x14ac:dyDescent="0.25">
      <c r="A344" s="61" t="s">
        <v>4</v>
      </c>
      <c r="B344" s="62" t="s">
        <v>176</v>
      </c>
      <c r="C344" s="343" t="s">
        <v>70</v>
      </c>
      <c r="D344" s="344"/>
      <c r="E344" s="63" t="s">
        <v>81</v>
      </c>
      <c r="F344" s="63" t="s">
        <v>81</v>
      </c>
      <c r="G344" s="64" t="s">
        <v>81</v>
      </c>
      <c r="H344" s="43">
        <f>SUM(H345:H346)</f>
        <v>0</v>
      </c>
      <c r="I344" s="43">
        <f>SUM(I345:I346)</f>
        <v>0</v>
      </c>
      <c r="J344" s="43">
        <f>SUM(J345:J346)</f>
        <v>0</v>
      </c>
      <c r="K344" s="65" t="s">
        <v>4</v>
      </c>
      <c r="AI344" s="49" t="s">
        <v>89</v>
      </c>
      <c r="AS344" s="43">
        <f>SUM(AJ345:AJ346)</f>
        <v>0</v>
      </c>
      <c r="AT344" s="43">
        <f>SUM(AK345:AK346)</f>
        <v>0</v>
      </c>
      <c r="AU344" s="43">
        <f>SUM(AL345:AL346)</f>
        <v>0</v>
      </c>
    </row>
    <row r="345" spans="1:76" x14ac:dyDescent="0.25">
      <c r="A345" s="1" t="s">
        <v>1115</v>
      </c>
      <c r="B345" s="2" t="s">
        <v>1116</v>
      </c>
      <c r="C345" s="258" t="s">
        <v>1117</v>
      </c>
      <c r="D345" s="259"/>
      <c r="E345" s="2" t="s">
        <v>1118</v>
      </c>
      <c r="F345" s="37">
        <v>1</v>
      </c>
      <c r="G345" s="66">
        <v>0</v>
      </c>
      <c r="H345" s="37">
        <f>F345*AO345</f>
        <v>0</v>
      </c>
      <c r="I345" s="37">
        <f>F345*AP345</f>
        <v>0</v>
      </c>
      <c r="J345" s="37">
        <f>F345*G345</f>
        <v>0</v>
      </c>
      <c r="K345" s="67" t="s">
        <v>4</v>
      </c>
      <c r="Z345" s="37">
        <f>IF(AQ345="5",BJ345,0)</f>
        <v>0</v>
      </c>
      <c r="AB345" s="37">
        <f>IF(AQ345="1",BH345,0)</f>
        <v>0</v>
      </c>
      <c r="AC345" s="37">
        <f>IF(AQ345="1",BI345,0)</f>
        <v>0</v>
      </c>
      <c r="AD345" s="37">
        <f>IF(AQ345="7",BH345,0)</f>
        <v>0</v>
      </c>
      <c r="AE345" s="37">
        <f>IF(AQ345="7",BI345,0)</f>
        <v>0</v>
      </c>
      <c r="AF345" s="37">
        <f>IF(AQ345="2",BH345,0)</f>
        <v>0</v>
      </c>
      <c r="AG345" s="37">
        <f>IF(AQ345="2",BI345,0)</f>
        <v>0</v>
      </c>
      <c r="AH345" s="37">
        <f>IF(AQ345="0",BJ345,0)</f>
        <v>0</v>
      </c>
      <c r="AI345" s="49" t="s">
        <v>89</v>
      </c>
      <c r="AJ345" s="37">
        <f>IF(AN345=0,J345,0)</f>
        <v>0</v>
      </c>
      <c r="AK345" s="37">
        <f>IF(AN345=12,J345,0)</f>
        <v>0</v>
      </c>
      <c r="AL345" s="37">
        <f>IF(AN345=21,J345,0)</f>
        <v>0</v>
      </c>
      <c r="AN345" s="37">
        <v>21</v>
      </c>
      <c r="AO345" s="37">
        <f>G345*0</f>
        <v>0</v>
      </c>
      <c r="AP345" s="37">
        <f>G345*(1-0)</f>
        <v>0</v>
      </c>
      <c r="AQ345" s="68" t="s">
        <v>523</v>
      </c>
      <c r="AV345" s="37">
        <f>AW345+AX345</f>
        <v>0</v>
      </c>
      <c r="AW345" s="37">
        <f>F345*AO345</f>
        <v>0</v>
      </c>
      <c r="AX345" s="37">
        <f>F345*AP345</f>
        <v>0</v>
      </c>
      <c r="AY345" s="68" t="s">
        <v>1119</v>
      </c>
      <c r="AZ345" s="68" t="s">
        <v>1120</v>
      </c>
      <c r="BA345" s="49" t="s">
        <v>220</v>
      </c>
      <c r="BC345" s="37">
        <f>AW345+AX345</f>
        <v>0</v>
      </c>
      <c r="BD345" s="37">
        <f>G345/(100-BE345)*100</f>
        <v>0</v>
      </c>
      <c r="BE345" s="37">
        <v>0</v>
      </c>
      <c r="BF345" s="37">
        <f>345</f>
        <v>345</v>
      </c>
      <c r="BH345" s="37">
        <f>F345*AO345</f>
        <v>0</v>
      </c>
      <c r="BI345" s="37">
        <f>F345*AP345</f>
        <v>0</v>
      </c>
      <c r="BJ345" s="37">
        <f>F345*G345</f>
        <v>0</v>
      </c>
      <c r="BK345" s="37"/>
      <c r="BL345" s="37"/>
      <c r="BM345" s="37">
        <f>F345*G345</f>
        <v>0</v>
      </c>
      <c r="BW345" s="37">
        <v>21</v>
      </c>
      <c r="BX345" s="3" t="s">
        <v>1117</v>
      </c>
    </row>
    <row r="346" spans="1:76" x14ac:dyDescent="0.25">
      <c r="A346" s="1" t="s">
        <v>1121</v>
      </c>
      <c r="B346" s="2" t="s">
        <v>1116</v>
      </c>
      <c r="C346" s="258" t="s">
        <v>1122</v>
      </c>
      <c r="D346" s="259"/>
      <c r="E346" s="2" t="s">
        <v>1118</v>
      </c>
      <c r="F346" s="37">
        <v>1</v>
      </c>
      <c r="G346" s="66">
        <v>0</v>
      </c>
      <c r="H346" s="37">
        <f>F346*AO346</f>
        <v>0</v>
      </c>
      <c r="I346" s="37">
        <f>F346*AP346</f>
        <v>0</v>
      </c>
      <c r="J346" s="37">
        <f>F346*G346</f>
        <v>0</v>
      </c>
      <c r="K346" s="67" t="s">
        <v>4</v>
      </c>
      <c r="Z346" s="37">
        <f>IF(AQ346="5",BJ346,0)</f>
        <v>0</v>
      </c>
      <c r="AB346" s="37">
        <f>IF(AQ346="1",BH346,0)</f>
        <v>0</v>
      </c>
      <c r="AC346" s="37">
        <f>IF(AQ346="1",BI346,0)</f>
        <v>0</v>
      </c>
      <c r="AD346" s="37">
        <f>IF(AQ346="7",BH346,0)</f>
        <v>0</v>
      </c>
      <c r="AE346" s="37">
        <f>IF(AQ346="7",BI346,0)</f>
        <v>0</v>
      </c>
      <c r="AF346" s="37">
        <f>IF(AQ346="2",BH346,0)</f>
        <v>0</v>
      </c>
      <c r="AG346" s="37">
        <f>IF(AQ346="2",BI346,0)</f>
        <v>0</v>
      </c>
      <c r="AH346" s="37">
        <f>IF(AQ346="0",BJ346,0)</f>
        <v>0</v>
      </c>
      <c r="AI346" s="49" t="s">
        <v>89</v>
      </c>
      <c r="AJ346" s="37">
        <f>IF(AN346=0,J346,0)</f>
        <v>0</v>
      </c>
      <c r="AK346" s="37">
        <f>IF(AN346=12,J346,0)</f>
        <v>0</v>
      </c>
      <c r="AL346" s="37">
        <f>IF(AN346=21,J346,0)</f>
        <v>0</v>
      </c>
      <c r="AN346" s="37">
        <v>21</v>
      </c>
      <c r="AO346" s="37">
        <f>G346*0</f>
        <v>0</v>
      </c>
      <c r="AP346" s="37">
        <f>G346*(1-0)</f>
        <v>0</v>
      </c>
      <c r="AQ346" s="68" t="s">
        <v>523</v>
      </c>
      <c r="AV346" s="37">
        <f>AW346+AX346</f>
        <v>0</v>
      </c>
      <c r="AW346" s="37">
        <f>F346*AO346</f>
        <v>0</v>
      </c>
      <c r="AX346" s="37">
        <f>F346*AP346</f>
        <v>0</v>
      </c>
      <c r="AY346" s="68" t="s">
        <v>1119</v>
      </c>
      <c r="AZ346" s="68" t="s">
        <v>1120</v>
      </c>
      <c r="BA346" s="49" t="s">
        <v>220</v>
      </c>
      <c r="BC346" s="37">
        <f>AW346+AX346</f>
        <v>0</v>
      </c>
      <c r="BD346" s="37">
        <f>G346/(100-BE346)*100</f>
        <v>0</v>
      </c>
      <c r="BE346" s="37">
        <v>0</v>
      </c>
      <c r="BF346" s="37">
        <f>346</f>
        <v>346</v>
      </c>
      <c r="BH346" s="37">
        <f>F346*AO346</f>
        <v>0</v>
      </c>
      <c r="BI346" s="37">
        <f>F346*AP346</f>
        <v>0</v>
      </c>
      <c r="BJ346" s="37">
        <f>F346*G346</f>
        <v>0</v>
      </c>
      <c r="BK346" s="37"/>
      <c r="BL346" s="37"/>
      <c r="BM346" s="37">
        <f>F346*G346</f>
        <v>0</v>
      </c>
      <c r="BW346" s="37">
        <v>21</v>
      </c>
      <c r="BX346" s="3" t="s">
        <v>1122</v>
      </c>
    </row>
    <row r="347" spans="1:76" x14ac:dyDescent="0.25">
      <c r="A347" s="61" t="s">
        <v>4</v>
      </c>
      <c r="B347" s="62" t="s">
        <v>177</v>
      </c>
      <c r="C347" s="343" t="s">
        <v>26</v>
      </c>
      <c r="D347" s="344"/>
      <c r="E347" s="63" t="s">
        <v>81</v>
      </c>
      <c r="F347" s="63" t="s">
        <v>81</v>
      </c>
      <c r="G347" s="64" t="s">
        <v>81</v>
      </c>
      <c r="H347" s="43">
        <f>SUM(H348:H348)</f>
        <v>0</v>
      </c>
      <c r="I347" s="43">
        <f>SUM(I348:I348)</f>
        <v>0</v>
      </c>
      <c r="J347" s="43">
        <f>SUM(J348:J348)</f>
        <v>0</v>
      </c>
      <c r="K347" s="65" t="s">
        <v>4</v>
      </c>
      <c r="AI347" s="49" t="s">
        <v>89</v>
      </c>
      <c r="AS347" s="43">
        <f>SUM(AJ348:AJ348)</f>
        <v>0</v>
      </c>
      <c r="AT347" s="43">
        <f>SUM(AK348:AK348)</f>
        <v>0</v>
      </c>
      <c r="AU347" s="43">
        <f>SUM(AL348:AL348)</f>
        <v>0</v>
      </c>
    </row>
    <row r="348" spans="1:76" x14ac:dyDescent="0.25">
      <c r="A348" s="1" t="s">
        <v>1123</v>
      </c>
      <c r="B348" s="2" t="s">
        <v>1124</v>
      </c>
      <c r="C348" s="258" t="s">
        <v>26</v>
      </c>
      <c r="D348" s="259"/>
      <c r="E348" s="2" t="s">
        <v>1118</v>
      </c>
      <c r="F348" s="37">
        <v>1</v>
      </c>
      <c r="G348" s="66">
        <v>0</v>
      </c>
      <c r="H348" s="37">
        <f>F348*AO348</f>
        <v>0</v>
      </c>
      <c r="I348" s="37">
        <f>F348*AP348</f>
        <v>0</v>
      </c>
      <c r="J348" s="37">
        <f>F348*G348</f>
        <v>0</v>
      </c>
      <c r="K348" s="67" t="s">
        <v>4</v>
      </c>
      <c r="Z348" s="37">
        <f>IF(AQ348="5",BJ348,0)</f>
        <v>0</v>
      </c>
      <c r="AB348" s="37">
        <f>IF(AQ348="1",BH348,0)</f>
        <v>0</v>
      </c>
      <c r="AC348" s="37">
        <f>IF(AQ348="1",BI348,0)</f>
        <v>0</v>
      </c>
      <c r="AD348" s="37">
        <f>IF(AQ348="7",BH348,0)</f>
        <v>0</v>
      </c>
      <c r="AE348" s="37">
        <f>IF(AQ348="7",BI348,0)</f>
        <v>0</v>
      </c>
      <c r="AF348" s="37">
        <f>IF(AQ348="2",BH348,0)</f>
        <v>0</v>
      </c>
      <c r="AG348" s="37">
        <f>IF(AQ348="2",BI348,0)</f>
        <v>0</v>
      </c>
      <c r="AH348" s="37">
        <f>IF(AQ348="0",BJ348,0)</f>
        <v>0</v>
      </c>
      <c r="AI348" s="49" t="s">
        <v>89</v>
      </c>
      <c r="AJ348" s="37">
        <f>IF(AN348=0,J348,0)</f>
        <v>0</v>
      </c>
      <c r="AK348" s="37">
        <f>IF(AN348=12,J348,0)</f>
        <v>0</v>
      </c>
      <c r="AL348" s="37">
        <f>IF(AN348=21,J348,0)</f>
        <v>0</v>
      </c>
      <c r="AN348" s="37">
        <v>21</v>
      </c>
      <c r="AO348" s="37">
        <f>G348*0</f>
        <v>0</v>
      </c>
      <c r="AP348" s="37">
        <f>G348*(1-0)</f>
        <v>0</v>
      </c>
      <c r="AQ348" s="68" t="s">
        <v>523</v>
      </c>
      <c r="AV348" s="37">
        <f>AW348+AX348</f>
        <v>0</v>
      </c>
      <c r="AW348" s="37">
        <f>F348*AO348</f>
        <v>0</v>
      </c>
      <c r="AX348" s="37">
        <f>F348*AP348</f>
        <v>0</v>
      </c>
      <c r="AY348" s="68" t="s">
        <v>1125</v>
      </c>
      <c r="AZ348" s="68" t="s">
        <v>1120</v>
      </c>
      <c r="BA348" s="49" t="s">
        <v>220</v>
      </c>
      <c r="BC348" s="37">
        <f>AW348+AX348</f>
        <v>0</v>
      </c>
      <c r="BD348" s="37">
        <f>G348/(100-BE348)*100</f>
        <v>0</v>
      </c>
      <c r="BE348" s="37">
        <v>0</v>
      </c>
      <c r="BF348" s="37">
        <f>348</f>
        <v>348</v>
      </c>
      <c r="BH348" s="37">
        <f>F348*AO348</f>
        <v>0</v>
      </c>
      <c r="BI348" s="37">
        <f>F348*AP348</f>
        <v>0</v>
      </c>
      <c r="BJ348" s="37">
        <f>F348*G348</f>
        <v>0</v>
      </c>
      <c r="BK348" s="37"/>
      <c r="BL348" s="37"/>
      <c r="BO348" s="37">
        <f>F348*G348</f>
        <v>0</v>
      </c>
      <c r="BW348" s="37">
        <v>21</v>
      </c>
      <c r="BX348" s="3" t="s">
        <v>26</v>
      </c>
    </row>
    <row r="349" spans="1:76" x14ac:dyDescent="0.25">
      <c r="A349" s="61" t="s">
        <v>4</v>
      </c>
      <c r="B349" s="62" t="s">
        <v>178</v>
      </c>
      <c r="C349" s="343" t="s">
        <v>72</v>
      </c>
      <c r="D349" s="344"/>
      <c r="E349" s="63" t="s">
        <v>81</v>
      </c>
      <c r="F349" s="63" t="s">
        <v>81</v>
      </c>
      <c r="G349" s="64" t="s">
        <v>81</v>
      </c>
      <c r="H349" s="43">
        <f>SUM(H350:H350)</f>
        <v>0</v>
      </c>
      <c r="I349" s="43">
        <f>SUM(I350:I350)</f>
        <v>0</v>
      </c>
      <c r="J349" s="43">
        <f>SUM(J350:J350)</f>
        <v>0</v>
      </c>
      <c r="K349" s="65" t="s">
        <v>4</v>
      </c>
      <c r="AI349" s="49" t="s">
        <v>89</v>
      </c>
      <c r="AS349" s="43">
        <f>SUM(AJ350:AJ350)</f>
        <v>0</v>
      </c>
      <c r="AT349" s="43">
        <f>SUM(AK350:AK350)</f>
        <v>0</v>
      </c>
      <c r="AU349" s="43">
        <f>SUM(AL350:AL350)</f>
        <v>0</v>
      </c>
    </row>
    <row r="350" spans="1:76" x14ac:dyDescent="0.25">
      <c r="A350" s="1" t="s">
        <v>1126</v>
      </c>
      <c r="B350" s="2" t="s">
        <v>1127</v>
      </c>
      <c r="C350" s="258" t="s">
        <v>1128</v>
      </c>
      <c r="D350" s="259"/>
      <c r="E350" s="2" t="s">
        <v>1118</v>
      </c>
      <c r="F350" s="37">
        <v>1</v>
      </c>
      <c r="G350" s="66">
        <v>0</v>
      </c>
      <c r="H350" s="37">
        <f>F350*AO350</f>
        <v>0</v>
      </c>
      <c r="I350" s="37">
        <f>F350*AP350</f>
        <v>0</v>
      </c>
      <c r="J350" s="37">
        <f>F350*G350</f>
        <v>0</v>
      </c>
      <c r="K350" s="67" t="s">
        <v>4</v>
      </c>
      <c r="Z350" s="37">
        <f>IF(AQ350="5",BJ350,0)</f>
        <v>0</v>
      </c>
      <c r="AB350" s="37">
        <f>IF(AQ350="1",BH350,0)</f>
        <v>0</v>
      </c>
      <c r="AC350" s="37">
        <f>IF(AQ350="1",BI350,0)</f>
        <v>0</v>
      </c>
      <c r="AD350" s="37">
        <f>IF(AQ350="7",BH350,0)</f>
        <v>0</v>
      </c>
      <c r="AE350" s="37">
        <f>IF(AQ350="7",BI350,0)</f>
        <v>0</v>
      </c>
      <c r="AF350" s="37">
        <f>IF(AQ350="2",BH350,0)</f>
        <v>0</v>
      </c>
      <c r="AG350" s="37">
        <f>IF(AQ350="2",BI350,0)</f>
        <v>0</v>
      </c>
      <c r="AH350" s="37">
        <f>IF(AQ350="0",BJ350,0)</f>
        <v>0</v>
      </c>
      <c r="AI350" s="49" t="s">
        <v>89</v>
      </c>
      <c r="AJ350" s="37">
        <f>IF(AN350=0,J350,0)</f>
        <v>0</v>
      </c>
      <c r="AK350" s="37">
        <f>IF(AN350=12,J350,0)</f>
        <v>0</v>
      </c>
      <c r="AL350" s="37">
        <f>IF(AN350=21,J350,0)</f>
        <v>0</v>
      </c>
      <c r="AN350" s="37">
        <v>21</v>
      </c>
      <c r="AO350" s="37">
        <f>G350*0</f>
        <v>0</v>
      </c>
      <c r="AP350" s="37">
        <f>G350*(1-0)</f>
        <v>0</v>
      </c>
      <c r="AQ350" s="68" t="s">
        <v>523</v>
      </c>
      <c r="AV350" s="37">
        <f>AW350+AX350</f>
        <v>0</v>
      </c>
      <c r="AW350" s="37">
        <f>F350*AO350</f>
        <v>0</v>
      </c>
      <c r="AX350" s="37">
        <f>F350*AP350</f>
        <v>0</v>
      </c>
      <c r="AY350" s="68" t="s">
        <v>1129</v>
      </c>
      <c r="AZ350" s="68" t="s">
        <v>1120</v>
      </c>
      <c r="BA350" s="49" t="s">
        <v>220</v>
      </c>
      <c r="BC350" s="37">
        <f>AW350+AX350</f>
        <v>0</v>
      </c>
      <c r="BD350" s="37">
        <f>G350/(100-BE350)*100</f>
        <v>0</v>
      </c>
      <c r="BE350" s="37">
        <v>0</v>
      </c>
      <c r="BF350" s="37">
        <f>350</f>
        <v>350</v>
      </c>
      <c r="BH350" s="37">
        <f>F350*AO350</f>
        <v>0</v>
      </c>
      <c r="BI350" s="37">
        <f>F350*AP350</f>
        <v>0</v>
      </c>
      <c r="BJ350" s="37">
        <f>F350*G350</f>
        <v>0</v>
      </c>
      <c r="BK350" s="37"/>
      <c r="BL350" s="37"/>
      <c r="BP350" s="37">
        <f>F350*G350</f>
        <v>0</v>
      </c>
      <c r="BW350" s="37">
        <v>21</v>
      </c>
      <c r="BX350" s="3" t="s">
        <v>1128</v>
      </c>
    </row>
    <row r="351" spans="1:76" x14ac:dyDescent="0.25">
      <c r="A351" s="61" t="s">
        <v>4</v>
      </c>
      <c r="B351" s="62" t="s">
        <v>179</v>
      </c>
      <c r="C351" s="343" t="s">
        <v>33</v>
      </c>
      <c r="D351" s="344"/>
      <c r="E351" s="63" t="s">
        <v>81</v>
      </c>
      <c r="F351" s="63" t="s">
        <v>81</v>
      </c>
      <c r="G351" s="64" t="s">
        <v>81</v>
      </c>
      <c r="H351" s="43">
        <f>SUM(H352:H354)</f>
        <v>0</v>
      </c>
      <c r="I351" s="43">
        <f>SUM(I352:I354)</f>
        <v>0</v>
      </c>
      <c r="J351" s="43">
        <f>SUM(J352:J354)</f>
        <v>0</v>
      </c>
      <c r="K351" s="65" t="s">
        <v>4</v>
      </c>
      <c r="AI351" s="49" t="s">
        <v>89</v>
      </c>
      <c r="AS351" s="43">
        <f>SUM(AJ352:AJ354)</f>
        <v>0</v>
      </c>
      <c r="AT351" s="43">
        <f>SUM(AK352:AK354)</f>
        <v>0</v>
      </c>
      <c r="AU351" s="43">
        <f>SUM(AL352:AL354)</f>
        <v>0</v>
      </c>
    </row>
    <row r="352" spans="1:76" x14ac:dyDescent="0.25">
      <c r="A352" s="1" t="s">
        <v>1130</v>
      </c>
      <c r="B352" s="2" t="s">
        <v>1131</v>
      </c>
      <c r="C352" s="258" t="s">
        <v>1132</v>
      </c>
      <c r="D352" s="259"/>
      <c r="E352" s="2" t="s">
        <v>1118</v>
      </c>
      <c r="F352" s="37">
        <v>1</v>
      </c>
      <c r="G352" s="66">
        <v>0</v>
      </c>
      <c r="H352" s="37">
        <f>F352*AO352</f>
        <v>0</v>
      </c>
      <c r="I352" s="37">
        <f>F352*AP352</f>
        <v>0</v>
      </c>
      <c r="J352" s="37">
        <f>F352*G352</f>
        <v>0</v>
      </c>
      <c r="K352" s="67" t="s">
        <v>4</v>
      </c>
      <c r="Z352" s="37">
        <f>IF(AQ352="5",BJ352,0)</f>
        <v>0</v>
      </c>
      <c r="AB352" s="37">
        <f>IF(AQ352="1",BH352,0)</f>
        <v>0</v>
      </c>
      <c r="AC352" s="37">
        <f>IF(AQ352="1",BI352,0)</f>
        <v>0</v>
      </c>
      <c r="AD352" s="37">
        <f>IF(AQ352="7",BH352,0)</f>
        <v>0</v>
      </c>
      <c r="AE352" s="37">
        <f>IF(AQ352="7",BI352,0)</f>
        <v>0</v>
      </c>
      <c r="AF352" s="37">
        <f>IF(AQ352="2",BH352,0)</f>
        <v>0</v>
      </c>
      <c r="AG352" s="37">
        <f>IF(AQ352="2",BI352,0)</f>
        <v>0</v>
      </c>
      <c r="AH352" s="37">
        <f>IF(AQ352="0",BJ352,0)</f>
        <v>0</v>
      </c>
      <c r="AI352" s="49" t="s">
        <v>89</v>
      </c>
      <c r="AJ352" s="37">
        <f>IF(AN352=0,J352,0)</f>
        <v>0</v>
      </c>
      <c r="AK352" s="37">
        <f>IF(AN352=12,J352,0)</f>
        <v>0</v>
      </c>
      <c r="AL352" s="37">
        <f>IF(AN352=21,J352,0)</f>
        <v>0</v>
      </c>
      <c r="AN352" s="37">
        <v>21</v>
      </c>
      <c r="AO352" s="37">
        <f>G352*0</f>
        <v>0</v>
      </c>
      <c r="AP352" s="37">
        <f>G352*(1-0)</f>
        <v>0</v>
      </c>
      <c r="AQ352" s="68" t="s">
        <v>523</v>
      </c>
      <c r="AV352" s="37">
        <f>AW352+AX352</f>
        <v>0</v>
      </c>
      <c r="AW352" s="37">
        <f>F352*AO352</f>
        <v>0</v>
      </c>
      <c r="AX352" s="37">
        <f>F352*AP352</f>
        <v>0</v>
      </c>
      <c r="AY352" s="68" t="s">
        <v>1133</v>
      </c>
      <c r="AZ352" s="68" t="s">
        <v>1120</v>
      </c>
      <c r="BA352" s="49" t="s">
        <v>220</v>
      </c>
      <c r="BC352" s="37">
        <f>AW352+AX352</f>
        <v>0</v>
      </c>
      <c r="BD352" s="37">
        <f>G352/(100-BE352)*100</f>
        <v>0</v>
      </c>
      <c r="BE352" s="37">
        <v>0</v>
      </c>
      <c r="BF352" s="37">
        <f>352</f>
        <v>352</v>
      </c>
      <c r="BH352" s="37">
        <f>F352*AO352</f>
        <v>0</v>
      </c>
      <c r="BI352" s="37">
        <f>F352*AP352</f>
        <v>0</v>
      </c>
      <c r="BJ352" s="37">
        <f>F352*G352</f>
        <v>0</v>
      </c>
      <c r="BK352" s="37"/>
      <c r="BL352" s="37"/>
      <c r="BS352" s="37">
        <f>F352*G352</f>
        <v>0</v>
      </c>
      <c r="BW352" s="37">
        <v>21</v>
      </c>
      <c r="BX352" s="3" t="s">
        <v>1132</v>
      </c>
    </row>
    <row r="353" spans="1:76" x14ac:dyDescent="0.25">
      <c r="A353" s="1" t="s">
        <v>1134</v>
      </c>
      <c r="B353" s="2" t="s">
        <v>1135</v>
      </c>
      <c r="C353" s="258" t="s">
        <v>1136</v>
      </c>
      <c r="D353" s="259"/>
      <c r="E353" s="2" t="s">
        <v>1118</v>
      </c>
      <c r="F353" s="37">
        <v>1</v>
      </c>
      <c r="G353" s="66">
        <v>0</v>
      </c>
      <c r="H353" s="37">
        <f>F353*AO353</f>
        <v>0</v>
      </c>
      <c r="I353" s="37">
        <f>F353*AP353</f>
        <v>0</v>
      </c>
      <c r="J353" s="37">
        <f>F353*G353</f>
        <v>0</v>
      </c>
      <c r="K353" s="67" t="s">
        <v>4</v>
      </c>
      <c r="Z353" s="37">
        <f>IF(AQ353="5",BJ353,0)</f>
        <v>0</v>
      </c>
      <c r="AB353" s="37">
        <f>IF(AQ353="1",BH353,0)</f>
        <v>0</v>
      </c>
      <c r="AC353" s="37">
        <f>IF(AQ353="1",BI353,0)</f>
        <v>0</v>
      </c>
      <c r="AD353" s="37">
        <f>IF(AQ353="7",BH353,0)</f>
        <v>0</v>
      </c>
      <c r="AE353" s="37">
        <f>IF(AQ353="7",BI353,0)</f>
        <v>0</v>
      </c>
      <c r="AF353" s="37">
        <f>IF(AQ353="2",BH353,0)</f>
        <v>0</v>
      </c>
      <c r="AG353" s="37">
        <f>IF(AQ353="2",BI353,0)</f>
        <v>0</v>
      </c>
      <c r="AH353" s="37">
        <f>IF(AQ353="0",BJ353,0)</f>
        <v>0</v>
      </c>
      <c r="AI353" s="49" t="s">
        <v>89</v>
      </c>
      <c r="AJ353" s="37">
        <f>IF(AN353=0,J353,0)</f>
        <v>0</v>
      </c>
      <c r="AK353" s="37">
        <f>IF(AN353=12,J353,0)</f>
        <v>0</v>
      </c>
      <c r="AL353" s="37">
        <f>IF(AN353=21,J353,0)</f>
        <v>0</v>
      </c>
      <c r="AN353" s="37">
        <v>21</v>
      </c>
      <c r="AO353" s="37">
        <f>G353*0</f>
        <v>0</v>
      </c>
      <c r="AP353" s="37">
        <f>G353*(1-0)</f>
        <v>0</v>
      </c>
      <c r="AQ353" s="68" t="s">
        <v>523</v>
      </c>
      <c r="AV353" s="37">
        <f>AW353+AX353</f>
        <v>0</v>
      </c>
      <c r="AW353" s="37">
        <f>F353*AO353</f>
        <v>0</v>
      </c>
      <c r="AX353" s="37">
        <f>F353*AP353</f>
        <v>0</v>
      </c>
      <c r="AY353" s="68" t="s">
        <v>1133</v>
      </c>
      <c r="AZ353" s="68" t="s">
        <v>1120</v>
      </c>
      <c r="BA353" s="49" t="s">
        <v>220</v>
      </c>
      <c r="BC353" s="37">
        <f>AW353+AX353</f>
        <v>0</v>
      </c>
      <c r="BD353" s="37">
        <f>G353/(100-BE353)*100</f>
        <v>0</v>
      </c>
      <c r="BE353" s="37">
        <v>0</v>
      </c>
      <c r="BF353" s="37">
        <f>353</f>
        <v>353</v>
      </c>
      <c r="BH353" s="37">
        <f>F353*AO353</f>
        <v>0</v>
      </c>
      <c r="BI353" s="37">
        <f>F353*AP353</f>
        <v>0</v>
      </c>
      <c r="BJ353" s="37">
        <f>F353*G353</f>
        <v>0</v>
      </c>
      <c r="BK353" s="37"/>
      <c r="BL353" s="37"/>
      <c r="BS353" s="37">
        <f>F353*G353</f>
        <v>0</v>
      </c>
      <c r="BW353" s="37">
        <v>21</v>
      </c>
      <c r="BX353" s="3" t="s">
        <v>1136</v>
      </c>
    </row>
    <row r="354" spans="1:76" x14ac:dyDescent="0.25">
      <c r="A354" s="4" t="s">
        <v>1137</v>
      </c>
      <c r="B354" s="5" t="s">
        <v>1138</v>
      </c>
      <c r="C354" s="345" t="s">
        <v>1139</v>
      </c>
      <c r="D354" s="295"/>
      <c r="E354" s="5" t="s">
        <v>1118</v>
      </c>
      <c r="F354" s="39">
        <v>1</v>
      </c>
      <c r="G354" s="71">
        <v>0</v>
      </c>
      <c r="H354" s="39">
        <f>F354*AO354</f>
        <v>0</v>
      </c>
      <c r="I354" s="39">
        <f>F354*AP354</f>
        <v>0</v>
      </c>
      <c r="J354" s="39">
        <f>F354*G354</f>
        <v>0</v>
      </c>
      <c r="K354" s="72" t="s">
        <v>4</v>
      </c>
      <c r="Z354" s="37">
        <f>IF(AQ354="5",BJ354,0)</f>
        <v>0</v>
      </c>
      <c r="AB354" s="37">
        <f>IF(AQ354="1",BH354,0)</f>
        <v>0</v>
      </c>
      <c r="AC354" s="37">
        <f>IF(AQ354="1",BI354,0)</f>
        <v>0</v>
      </c>
      <c r="AD354" s="37">
        <f>IF(AQ354="7",BH354,0)</f>
        <v>0</v>
      </c>
      <c r="AE354" s="37">
        <f>IF(AQ354="7",BI354,0)</f>
        <v>0</v>
      </c>
      <c r="AF354" s="37">
        <f>IF(AQ354="2",BH354,0)</f>
        <v>0</v>
      </c>
      <c r="AG354" s="37">
        <f>IF(AQ354="2",BI354,0)</f>
        <v>0</v>
      </c>
      <c r="AH354" s="37">
        <f>IF(AQ354="0",BJ354,0)</f>
        <v>0</v>
      </c>
      <c r="AI354" s="49" t="s">
        <v>89</v>
      </c>
      <c r="AJ354" s="37">
        <f>IF(AN354=0,J354,0)</f>
        <v>0</v>
      </c>
      <c r="AK354" s="37">
        <f>IF(AN354=12,J354,0)</f>
        <v>0</v>
      </c>
      <c r="AL354" s="37">
        <f>IF(AN354=21,J354,0)</f>
        <v>0</v>
      </c>
      <c r="AN354" s="37">
        <v>21</v>
      </c>
      <c r="AO354" s="37">
        <f>G354*0</f>
        <v>0</v>
      </c>
      <c r="AP354" s="37">
        <f>G354*(1-0)</f>
        <v>0</v>
      </c>
      <c r="AQ354" s="68" t="s">
        <v>523</v>
      </c>
      <c r="AV354" s="37">
        <f>AW354+AX354</f>
        <v>0</v>
      </c>
      <c r="AW354" s="37">
        <f>F354*AO354</f>
        <v>0</v>
      </c>
      <c r="AX354" s="37">
        <f>F354*AP354</f>
        <v>0</v>
      </c>
      <c r="AY354" s="68" t="s">
        <v>1133</v>
      </c>
      <c r="AZ354" s="68" t="s">
        <v>1120</v>
      </c>
      <c r="BA354" s="49" t="s">
        <v>220</v>
      </c>
      <c r="BC354" s="37">
        <f>AW354+AX354</f>
        <v>0</v>
      </c>
      <c r="BD354" s="37">
        <f>G354/(100-BE354)*100</f>
        <v>0</v>
      </c>
      <c r="BE354" s="37">
        <v>0</v>
      </c>
      <c r="BF354" s="37">
        <f>354</f>
        <v>354</v>
      </c>
      <c r="BH354" s="37">
        <f>F354*AO354</f>
        <v>0</v>
      </c>
      <c r="BI354" s="37">
        <f>F354*AP354</f>
        <v>0</v>
      </c>
      <c r="BJ354" s="37">
        <f>F354*G354</f>
        <v>0</v>
      </c>
      <c r="BK354" s="37"/>
      <c r="BL354" s="37"/>
      <c r="BS354" s="37">
        <f>F354*G354</f>
        <v>0</v>
      </c>
      <c r="BW354" s="37">
        <v>21</v>
      </c>
      <c r="BX354" s="3" t="s">
        <v>1139</v>
      </c>
    </row>
    <row r="355" spans="1:76" x14ac:dyDescent="0.25">
      <c r="H355" s="329" t="s">
        <v>180</v>
      </c>
      <c r="I355" s="329"/>
      <c r="J355" s="41">
        <f>J13+J17+J21+J24+J26+J28+J42+J44+J56+J61+J63+J68+J74+J83+J88+J97+J100+J103+J108+J114+J120+J132+J149+J152+J173+J178+J186+J202+J234+J239+J244+J250+J257+J260+J266+J269+J273+J275+J280+J285+J295+J341+J344+J347+J349+J351</f>
        <v>0</v>
      </c>
    </row>
    <row r="356" spans="1:76" x14ac:dyDescent="0.25">
      <c r="A356" s="42" t="s">
        <v>57</v>
      </c>
    </row>
    <row r="357" spans="1:76" ht="67.5" customHeight="1" x14ac:dyDescent="0.25">
      <c r="A357" s="258" t="s">
        <v>181</v>
      </c>
      <c r="B357" s="259"/>
      <c r="C357" s="259"/>
      <c r="D357" s="259"/>
      <c r="E357" s="259"/>
      <c r="F357" s="259"/>
      <c r="G357" s="259"/>
      <c r="H357" s="259"/>
      <c r="I357" s="259"/>
      <c r="J357" s="259"/>
      <c r="K357" s="259"/>
    </row>
  </sheetData>
  <sheetProtection password="CC89" sheet="1"/>
  <mergeCells count="373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50:D150"/>
    <mergeCell ref="C151:D151"/>
    <mergeCell ref="C152:D152"/>
    <mergeCell ref="C153:D153"/>
    <mergeCell ref="C154:K154"/>
    <mergeCell ref="C145:D145"/>
    <mergeCell ref="C146:D146"/>
    <mergeCell ref="C147:D147"/>
    <mergeCell ref="C148:D148"/>
    <mergeCell ref="C149:D149"/>
    <mergeCell ref="C160:D160"/>
    <mergeCell ref="C161:D161"/>
    <mergeCell ref="C162:D162"/>
    <mergeCell ref="C163:D163"/>
    <mergeCell ref="C164:D164"/>
    <mergeCell ref="C155:D155"/>
    <mergeCell ref="C156:D156"/>
    <mergeCell ref="C157:D157"/>
    <mergeCell ref="C158:D158"/>
    <mergeCell ref="C159:D159"/>
    <mergeCell ref="C170:D170"/>
    <mergeCell ref="C171:D171"/>
    <mergeCell ref="C172:D172"/>
    <mergeCell ref="C173:D173"/>
    <mergeCell ref="C174:D174"/>
    <mergeCell ref="C165:D165"/>
    <mergeCell ref="C166:D166"/>
    <mergeCell ref="C167:D167"/>
    <mergeCell ref="C168:D168"/>
    <mergeCell ref="C169:D169"/>
    <mergeCell ref="C180:D180"/>
    <mergeCell ref="C181:D181"/>
    <mergeCell ref="C182:D182"/>
    <mergeCell ref="C183:D183"/>
    <mergeCell ref="C184:D184"/>
    <mergeCell ref="C175:D175"/>
    <mergeCell ref="C176:D176"/>
    <mergeCell ref="C177:D177"/>
    <mergeCell ref="C178:D178"/>
    <mergeCell ref="C179:D179"/>
    <mergeCell ref="C190:D190"/>
    <mergeCell ref="C191:D191"/>
    <mergeCell ref="C192:D192"/>
    <mergeCell ref="C193:D193"/>
    <mergeCell ref="C194:D194"/>
    <mergeCell ref="C185:D185"/>
    <mergeCell ref="C186:D186"/>
    <mergeCell ref="C187:D187"/>
    <mergeCell ref="C188:D188"/>
    <mergeCell ref="C189:D189"/>
    <mergeCell ref="C200:D200"/>
    <mergeCell ref="C201:D201"/>
    <mergeCell ref="C202:D202"/>
    <mergeCell ref="C203:D203"/>
    <mergeCell ref="C204:D204"/>
    <mergeCell ref="C195:D195"/>
    <mergeCell ref="C196:D196"/>
    <mergeCell ref="C197:D197"/>
    <mergeCell ref="C198:D198"/>
    <mergeCell ref="C199:D199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C208:D208"/>
    <mergeCell ref="C209:D209"/>
    <mergeCell ref="C220:D220"/>
    <mergeCell ref="C221:D221"/>
    <mergeCell ref="C222:D222"/>
    <mergeCell ref="C223:D223"/>
    <mergeCell ref="C224:D224"/>
    <mergeCell ref="C215:D215"/>
    <mergeCell ref="C216:D216"/>
    <mergeCell ref="C217:D217"/>
    <mergeCell ref="C218:D218"/>
    <mergeCell ref="C219:D219"/>
    <mergeCell ref="C230:D230"/>
    <mergeCell ref="C231:D231"/>
    <mergeCell ref="C232:D232"/>
    <mergeCell ref="C233:D233"/>
    <mergeCell ref="C234:D234"/>
    <mergeCell ref="C225:D225"/>
    <mergeCell ref="C226:D226"/>
    <mergeCell ref="C227:D227"/>
    <mergeCell ref="C228:D228"/>
    <mergeCell ref="C229:D229"/>
    <mergeCell ref="C240:D240"/>
    <mergeCell ref="C241:D241"/>
    <mergeCell ref="C242:D242"/>
    <mergeCell ref="C243:D243"/>
    <mergeCell ref="C244:D244"/>
    <mergeCell ref="C235:D235"/>
    <mergeCell ref="C236:D236"/>
    <mergeCell ref="C237:D237"/>
    <mergeCell ref="C238:D238"/>
    <mergeCell ref="C239:D239"/>
    <mergeCell ref="C250:D250"/>
    <mergeCell ref="C251:D251"/>
    <mergeCell ref="C252:D252"/>
    <mergeCell ref="C253:D253"/>
    <mergeCell ref="C254:D254"/>
    <mergeCell ref="C245:D245"/>
    <mergeCell ref="C246:D246"/>
    <mergeCell ref="C247:D247"/>
    <mergeCell ref="C248:D248"/>
    <mergeCell ref="C249:D249"/>
    <mergeCell ref="C260:D260"/>
    <mergeCell ref="C261:D261"/>
    <mergeCell ref="C262:D262"/>
    <mergeCell ref="C263:D263"/>
    <mergeCell ref="C264:D264"/>
    <mergeCell ref="C255:D255"/>
    <mergeCell ref="C256:D256"/>
    <mergeCell ref="C257:D257"/>
    <mergeCell ref="C258:D258"/>
    <mergeCell ref="C259:D259"/>
    <mergeCell ref="C270:D270"/>
    <mergeCell ref="C271:D271"/>
    <mergeCell ref="C272:D272"/>
    <mergeCell ref="C273:D273"/>
    <mergeCell ref="C274:D274"/>
    <mergeCell ref="C265:D265"/>
    <mergeCell ref="C266:D266"/>
    <mergeCell ref="C267:D267"/>
    <mergeCell ref="C268:D268"/>
    <mergeCell ref="C269:D269"/>
    <mergeCell ref="C280:D280"/>
    <mergeCell ref="C281:D281"/>
    <mergeCell ref="C282:D282"/>
    <mergeCell ref="C283:D283"/>
    <mergeCell ref="C284:D284"/>
    <mergeCell ref="C275:D275"/>
    <mergeCell ref="C276:D276"/>
    <mergeCell ref="C277:D277"/>
    <mergeCell ref="C278:D278"/>
    <mergeCell ref="C279:D279"/>
    <mergeCell ref="C290:D290"/>
    <mergeCell ref="C291:D291"/>
    <mergeCell ref="C292:D292"/>
    <mergeCell ref="C293:D293"/>
    <mergeCell ref="C294:D294"/>
    <mergeCell ref="C285:D285"/>
    <mergeCell ref="C286:D286"/>
    <mergeCell ref="C287:D287"/>
    <mergeCell ref="C288:D288"/>
    <mergeCell ref="C289:D289"/>
    <mergeCell ref="C300:D300"/>
    <mergeCell ref="C301:D301"/>
    <mergeCell ref="C302:D302"/>
    <mergeCell ref="C303:D303"/>
    <mergeCell ref="C304:D304"/>
    <mergeCell ref="C295:D295"/>
    <mergeCell ref="C296:D296"/>
    <mergeCell ref="C297:D297"/>
    <mergeCell ref="C298:D298"/>
    <mergeCell ref="C299:D299"/>
    <mergeCell ref="C310:D310"/>
    <mergeCell ref="C311:D311"/>
    <mergeCell ref="C312:D312"/>
    <mergeCell ref="C313:D313"/>
    <mergeCell ref="C314:D314"/>
    <mergeCell ref="C305:D305"/>
    <mergeCell ref="C306:D306"/>
    <mergeCell ref="C307:D307"/>
    <mergeCell ref="C308:D308"/>
    <mergeCell ref="C309:D309"/>
    <mergeCell ref="C320:D320"/>
    <mergeCell ref="C321:D321"/>
    <mergeCell ref="C322:D322"/>
    <mergeCell ref="C323:D323"/>
    <mergeCell ref="C324:D324"/>
    <mergeCell ref="C315:D315"/>
    <mergeCell ref="C316:D316"/>
    <mergeCell ref="C317:D317"/>
    <mergeCell ref="C318:D318"/>
    <mergeCell ref="C319:D319"/>
    <mergeCell ref="C330:D330"/>
    <mergeCell ref="C331:D331"/>
    <mergeCell ref="C332:D332"/>
    <mergeCell ref="C333:D333"/>
    <mergeCell ref="C334:D334"/>
    <mergeCell ref="C325:D325"/>
    <mergeCell ref="C326:D326"/>
    <mergeCell ref="C327:D327"/>
    <mergeCell ref="C328:D328"/>
    <mergeCell ref="C329:D329"/>
    <mergeCell ref="C340:D340"/>
    <mergeCell ref="C341:D341"/>
    <mergeCell ref="C342:D342"/>
    <mergeCell ref="C343:D343"/>
    <mergeCell ref="C344:D344"/>
    <mergeCell ref="C335:D335"/>
    <mergeCell ref="C336:D336"/>
    <mergeCell ref="C337:D337"/>
    <mergeCell ref="C338:D338"/>
    <mergeCell ref="C339:D339"/>
    <mergeCell ref="H355:I355"/>
    <mergeCell ref="A357:K357"/>
    <mergeCell ref="C350:D350"/>
    <mergeCell ref="C351:D351"/>
    <mergeCell ref="C352:D352"/>
    <mergeCell ref="C353:D353"/>
    <mergeCell ref="C354:D354"/>
    <mergeCell ref="C345:D345"/>
    <mergeCell ref="C346:D346"/>
    <mergeCell ref="C347:D347"/>
    <mergeCell ref="C348:D348"/>
    <mergeCell ref="C349:D349"/>
  </mergeCells>
  <pageMargins left="0.393999993801117" right="0.393999993801117" top="0.59100002050399802" bottom="0.59100002050399802" header="0" footer="0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809"/>
  <sheetViews>
    <sheetView topLeftCell="A809" workbookViewId="0">
      <selection activeCell="A809" sqref="A809:G809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81" customWidth="1"/>
    <col min="5" max="5" width="29.710937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300" t="s">
        <v>1140</v>
      </c>
      <c r="B1" s="300"/>
      <c r="C1" s="300"/>
      <c r="D1" s="300"/>
      <c r="E1" s="300"/>
      <c r="F1" s="300"/>
      <c r="G1" s="300"/>
      <c r="H1" s="300"/>
    </row>
    <row r="2" spans="1:8" x14ac:dyDescent="0.25">
      <c r="A2" s="301" t="s">
        <v>1</v>
      </c>
      <c r="B2" s="302"/>
      <c r="C2" s="307" t="str">
        <f>'Stavební rozpočet'!C2</f>
        <v>Stavební úpravy objektu čp. 80 se změnou užívání</v>
      </c>
      <c r="D2" s="308"/>
      <c r="E2" s="298" t="s">
        <v>2</v>
      </c>
      <c r="F2" s="298" t="str">
        <f>'Stavební rozpočet'!I2</f>
        <v>Obec Cetoraz, Cetoraz 206, Cetoraz</v>
      </c>
      <c r="G2" s="302"/>
      <c r="H2" s="304"/>
    </row>
    <row r="3" spans="1:8" ht="15" customHeight="1" x14ac:dyDescent="0.25">
      <c r="A3" s="303"/>
      <c r="B3" s="259"/>
      <c r="C3" s="309"/>
      <c r="D3" s="309"/>
      <c r="E3" s="259"/>
      <c r="F3" s="259"/>
      <c r="G3" s="259"/>
      <c r="H3" s="305"/>
    </row>
    <row r="4" spans="1:8" x14ac:dyDescent="0.25">
      <c r="A4" s="296" t="s">
        <v>5</v>
      </c>
      <c r="B4" s="259"/>
      <c r="C4" s="258" t="str">
        <f>'Stavební rozpočet'!C4</f>
        <v xml:space="preserve"> </v>
      </c>
      <c r="D4" s="259"/>
      <c r="E4" s="258" t="s">
        <v>6</v>
      </c>
      <c r="F4" s="258" t="str">
        <f>'Stavební rozpočet'!I4</f>
        <v>Ing. František Kovář, Dlouhá Lhota 6, Chýnov</v>
      </c>
      <c r="G4" s="259"/>
      <c r="H4" s="305"/>
    </row>
    <row r="5" spans="1:8" ht="15" customHeight="1" x14ac:dyDescent="0.25">
      <c r="A5" s="303"/>
      <c r="B5" s="259"/>
      <c r="C5" s="259"/>
      <c r="D5" s="259"/>
      <c r="E5" s="259"/>
      <c r="F5" s="259"/>
      <c r="G5" s="259"/>
      <c r="H5" s="305"/>
    </row>
    <row r="6" spans="1:8" x14ac:dyDescent="0.25">
      <c r="A6" s="296" t="s">
        <v>8</v>
      </c>
      <c r="B6" s="259"/>
      <c r="C6" s="258" t="str">
        <f>'Stavební rozpočet'!C6</f>
        <v>Cetoraz st.p.č. 89</v>
      </c>
      <c r="D6" s="259"/>
      <c r="E6" s="258" t="s">
        <v>9</v>
      </c>
      <c r="F6" s="258" t="str">
        <f>'Stavební rozpočet'!I6</f>
        <v> </v>
      </c>
      <c r="G6" s="259"/>
      <c r="H6" s="305"/>
    </row>
    <row r="7" spans="1:8" ht="15" customHeight="1" x14ac:dyDescent="0.25">
      <c r="A7" s="303"/>
      <c r="B7" s="259"/>
      <c r="C7" s="259"/>
      <c r="D7" s="259"/>
      <c r="E7" s="259"/>
      <c r="F7" s="259"/>
      <c r="G7" s="259"/>
      <c r="H7" s="305"/>
    </row>
    <row r="8" spans="1:8" x14ac:dyDescent="0.25">
      <c r="A8" s="296" t="s">
        <v>14</v>
      </c>
      <c r="B8" s="259"/>
      <c r="C8" s="258" t="str">
        <f>'Stavební rozpočet'!I8</f>
        <v>Alen Kadlecová</v>
      </c>
      <c r="D8" s="259"/>
      <c r="E8" s="258" t="s">
        <v>80</v>
      </c>
      <c r="F8" s="258" t="str">
        <f>'Stavební rozpočet'!G8</f>
        <v>02.12.2024</v>
      </c>
      <c r="G8" s="259"/>
      <c r="H8" s="305"/>
    </row>
    <row r="9" spans="1:8" x14ac:dyDescent="0.25">
      <c r="A9" s="342"/>
      <c r="B9" s="337"/>
      <c r="C9" s="337"/>
      <c r="D9" s="337"/>
      <c r="E9" s="337"/>
      <c r="F9" s="337"/>
      <c r="G9" s="337"/>
      <c r="H9" s="338"/>
    </row>
    <row r="10" spans="1:8" x14ac:dyDescent="0.25">
      <c r="A10" s="73" t="s">
        <v>190</v>
      </c>
      <c r="B10" s="74" t="s">
        <v>1141</v>
      </c>
      <c r="C10" s="74" t="s">
        <v>83</v>
      </c>
      <c r="D10" s="363" t="s">
        <v>84</v>
      </c>
      <c r="E10" s="364"/>
      <c r="F10" s="74" t="s">
        <v>191</v>
      </c>
      <c r="G10" s="75" t="s">
        <v>192</v>
      </c>
      <c r="H10" s="76" t="s">
        <v>1142</v>
      </c>
    </row>
    <row r="11" spans="1:8" x14ac:dyDescent="0.25">
      <c r="A11" s="77" t="s">
        <v>4</v>
      </c>
      <c r="B11" s="56" t="s">
        <v>1143</v>
      </c>
      <c r="C11" s="56" t="s">
        <v>90</v>
      </c>
      <c r="D11" s="352" t="s">
        <v>91</v>
      </c>
      <c r="E11" s="352"/>
      <c r="F11" s="56" t="s">
        <v>4</v>
      </c>
      <c r="G11" s="78" t="s">
        <v>4</v>
      </c>
      <c r="H11" s="60" t="s">
        <v>4</v>
      </c>
    </row>
    <row r="12" spans="1:8" x14ac:dyDescent="0.25">
      <c r="A12" s="79" t="s">
        <v>4</v>
      </c>
      <c r="B12" s="62" t="s">
        <v>1143</v>
      </c>
      <c r="C12" s="62" t="s">
        <v>93</v>
      </c>
      <c r="D12" s="344" t="s">
        <v>94</v>
      </c>
      <c r="E12" s="344"/>
      <c r="F12" s="62" t="s">
        <v>4</v>
      </c>
      <c r="G12" s="49" t="s">
        <v>4</v>
      </c>
      <c r="H12" s="65" t="s">
        <v>4</v>
      </c>
    </row>
    <row r="13" spans="1:8" x14ac:dyDescent="0.25">
      <c r="A13" s="79" t="s">
        <v>4</v>
      </c>
      <c r="B13" s="62" t="s">
        <v>1143</v>
      </c>
      <c r="C13" s="62" t="s">
        <v>95</v>
      </c>
      <c r="D13" s="344" t="s">
        <v>96</v>
      </c>
      <c r="E13" s="344"/>
      <c r="F13" s="62" t="s">
        <v>4</v>
      </c>
      <c r="G13" s="49" t="s">
        <v>4</v>
      </c>
      <c r="H13" s="65" t="s">
        <v>4</v>
      </c>
    </row>
    <row r="14" spans="1:8" x14ac:dyDescent="0.25">
      <c r="A14" s="79" t="s">
        <v>4</v>
      </c>
      <c r="B14" s="62" t="s">
        <v>1143</v>
      </c>
      <c r="C14" s="62" t="s">
        <v>97</v>
      </c>
      <c r="D14" s="344" t="s">
        <v>98</v>
      </c>
      <c r="E14" s="344"/>
      <c r="F14" s="62" t="s">
        <v>4</v>
      </c>
      <c r="G14" s="49" t="s">
        <v>4</v>
      </c>
      <c r="H14" s="65" t="s">
        <v>4</v>
      </c>
    </row>
    <row r="15" spans="1:8" x14ac:dyDescent="0.25">
      <c r="A15" s="79" t="s">
        <v>4</v>
      </c>
      <c r="B15" s="62" t="s">
        <v>1143</v>
      </c>
      <c r="C15" s="62" t="s">
        <v>99</v>
      </c>
      <c r="D15" s="344" t="s">
        <v>100</v>
      </c>
      <c r="E15" s="344"/>
      <c r="F15" s="62" t="s">
        <v>4</v>
      </c>
      <c r="G15" s="49" t="s">
        <v>4</v>
      </c>
      <c r="H15" s="65" t="s">
        <v>4</v>
      </c>
    </row>
    <row r="16" spans="1:8" x14ac:dyDescent="0.25">
      <c r="A16" s="79" t="s">
        <v>4</v>
      </c>
      <c r="B16" s="62" t="s">
        <v>1143</v>
      </c>
      <c r="C16" s="62" t="s">
        <v>101</v>
      </c>
      <c r="D16" s="344" t="s">
        <v>102</v>
      </c>
      <c r="E16" s="344"/>
      <c r="F16" s="62" t="s">
        <v>4</v>
      </c>
      <c r="G16" s="49" t="s">
        <v>4</v>
      </c>
      <c r="H16" s="65" t="s">
        <v>4</v>
      </c>
    </row>
    <row r="17" spans="1:8" x14ac:dyDescent="0.25">
      <c r="A17" s="79" t="s">
        <v>4</v>
      </c>
      <c r="B17" s="62" t="s">
        <v>1143</v>
      </c>
      <c r="C17" s="62" t="s">
        <v>103</v>
      </c>
      <c r="D17" s="344" t="s">
        <v>104</v>
      </c>
      <c r="E17" s="344"/>
      <c r="F17" s="62" t="s">
        <v>4</v>
      </c>
      <c r="G17" s="49" t="s">
        <v>4</v>
      </c>
      <c r="H17" s="65" t="s">
        <v>4</v>
      </c>
    </row>
    <row r="18" spans="1:8" x14ac:dyDescent="0.25">
      <c r="A18" s="79" t="s">
        <v>4</v>
      </c>
      <c r="B18" s="62" t="s">
        <v>1143</v>
      </c>
      <c r="C18" s="62" t="s">
        <v>105</v>
      </c>
      <c r="D18" s="344" t="s">
        <v>106</v>
      </c>
      <c r="E18" s="344"/>
      <c r="F18" s="62" t="s">
        <v>4</v>
      </c>
      <c r="G18" s="49" t="s">
        <v>4</v>
      </c>
      <c r="H18" s="65" t="s">
        <v>4</v>
      </c>
    </row>
    <row r="19" spans="1:8" x14ac:dyDescent="0.25">
      <c r="A19" s="79" t="s">
        <v>4</v>
      </c>
      <c r="B19" s="62" t="s">
        <v>1143</v>
      </c>
      <c r="C19" s="62" t="s">
        <v>107</v>
      </c>
      <c r="D19" s="344" t="s">
        <v>108</v>
      </c>
      <c r="E19" s="344"/>
      <c r="F19" s="62" t="s">
        <v>4</v>
      </c>
      <c r="G19" s="49" t="s">
        <v>4</v>
      </c>
      <c r="H19" s="65" t="s">
        <v>4</v>
      </c>
    </row>
    <row r="20" spans="1:8" x14ac:dyDescent="0.25">
      <c r="A20" s="79" t="s">
        <v>4</v>
      </c>
      <c r="B20" s="62" t="s">
        <v>1143</v>
      </c>
      <c r="C20" s="62" t="s">
        <v>109</v>
      </c>
      <c r="D20" s="344" t="s">
        <v>110</v>
      </c>
      <c r="E20" s="344"/>
      <c r="F20" s="62" t="s">
        <v>4</v>
      </c>
      <c r="G20" s="49" t="s">
        <v>4</v>
      </c>
      <c r="H20" s="65" t="s">
        <v>4</v>
      </c>
    </row>
    <row r="21" spans="1:8" x14ac:dyDescent="0.25">
      <c r="A21" s="79" t="s">
        <v>4</v>
      </c>
      <c r="B21" s="62" t="s">
        <v>1143</v>
      </c>
      <c r="C21" s="62" t="s">
        <v>111</v>
      </c>
      <c r="D21" s="344" t="s">
        <v>112</v>
      </c>
      <c r="E21" s="344"/>
      <c r="F21" s="62" t="s">
        <v>4</v>
      </c>
      <c r="G21" s="49" t="s">
        <v>4</v>
      </c>
      <c r="H21" s="65" t="s">
        <v>4</v>
      </c>
    </row>
    <row r="22" spans="1:8" x14ac:dyDescent="0.25">
      <c r="A22" s="79" t="s">
        <v>4</v>
      </c>
      <c r="B22" s="62" t="s">
        <v>1143</v>
      </c>
      <c r="C22" s="62" t="s">
        <v>113</v>
      </c>
      <c r="D22" s="344" t="s">
        <v>114</v>
      </c>
      <c r="E22" s="344"/>
      <c r="F22" s="62" t="s">
        <v>4</v>
      </c>
      <c r="G22" s="49" t="s">
        <v>4</v>
      </c>
      <c r="H22" s="65" t="s">
        <v>4</v>
      </c>
    </row>
    <row r="23" spans="1:8" x14ac:dyDescent="0.25">
      <c r="A23" s="79" t="s">
        <v>4</v>
      </c>
      <c r="B23" s="62" t="s">
        <v>1143</v>
      </c>
      <c r="C23" s="62" t="s">
        <v>115</v>
      </c>
      <c r="D23" s="344" t="s">
        <v>116</v>
      </c>
      <c r="E23" s="344"/>
      <c r="F23" s="62" t="s">
        <v>4</v>
      </c>
      <c r="G23" s="49" t="s">
        <v>4</v>
      </c>
      <c r="H23" s="65" t="s">
        <v>4</v>
      </c>
    </row>
    <row r="24" spans="1:8" x14ac:dyDescent="0.25">
      <c r="A24" s="79" t="s">
        <v>4</v>
      </c>
      <c r="B24" s="62" t="s">
        <v>1143</v>
      </c>
      <c r="C24" s="62" t="s">
        <v>117</v>
      </c>
      <c r="D24" s="344" t="s">
        <v>118</v>
      </c>
      <c r="E24" s="344"/>
      <c r="F24" s="62" t="s">
        <v>4</v>
      </c>
      <c r="G24" s="49" t="s">
        <v>4</v>
      </c>
      <c r="H24" s="65" t="s">
        <v>4</v>
      </c>
    </row>
    <row r="25" spans="1:8" x14ac:dyDescent="0.25">
      <c r="A25" s="79" t="s">
        <v>4</v>
      </c>
      <c r="B25" s="62" t="s">
        <v>1143</v>
      </c>
      <c r="C25" s="62" t="s">
        <v>119</v>
      </c>
      <c r="D25" s="344" t="s">
        <v>120</v>
      </c>
      <c r="E25" s="344"/>
      <c r="F25" s="62" t="s">
        <v>4</v>
      </c>
      <c r="G25" s="49" t="s">
        <v>4</v>
      </c>
      <c r="H25" s="65" t="s">
        <v>4</v>
      </c>
    </row>
    <row r="26" spans="1:8" x14ac:dyDescent="0.25">
      <c r="A26" s="79" t="s">
        <v>4</v>
      </c>
      <c r="B26" s="62" t="s">
        <v>1143</v>
      </c>
      <c r="C26" s="62" t="s">
        <v>121</v>
      </c>
      <c r="D26" s="344" t="s">
        <v>122</v>
      </c>
      <c r="E26" s="344"/>
      <c r="F26" s="62" t="s">
        <v>4</v>
      </c>
      <c r="G26" s="49" t="s">
        <v>4</v>
      </c>
      <c r="H26" s="65" t="s">
        <v>4</v>
      </c>
    </row>
    <row r="27" spans="1:8" x14ac:dyDescent="0.25">
      <c r="A27" s="79" t="s">
        <v>4</v>
      </c>
      <c r="B27" s="62" t="s">
        <v>1143</v>
      </c>
      <c r="C27" s="62" t="s">
        <v>123</v>
      </c>
      <c r="D27" s="344" t="s">
        <v>124</v>
      </c>
      <c r="E27" s="344"/>
      <c r="F27" s="62" t="s">
        <v>4</v>
      </c>
      <c r="G27" s="49" t="s">
        <v>4</v>
      </c>
      <c r="H27" s="65" t="s">
        <v>4</v>
      </c>
    </row>
    <row r="28" spans="1:8" x14ac:dyDescent="0.25">
      <c r="A28" s="79" t="s">
        <v>4</v>
      </c>
      <c r="B28" s="62" t="s">
        <v>1143</v>
      </c>
      <c r="C28" s="62" t="s">
        <v>125</v>
      </c>
      <c r="D28" s="344" t="s">
        <v>126</v>
      </c>
      <c r="E28" s="344"/>
      <c r="F28" s="62" t="s">
        <v>4</v>
      </c>
      <c r="G28" s="49" t="s">
        <v>4</v>
      </c>
      <c r="H28" s="65" t="s">
        <v>4</v>
      </c>
    </row>
    <row r="29" spans="1:8" x14ac:dyDescent="0.25">
      <c r="A29" s="79" t="s">
        <v>4</v>
      </c>
      <c r="B29" s="62" t="s">
        <v>1143</v>
      </c>
      <c r="C29" s="62" t="s">
        <v>127</v>
      </c>
      <c r="D29" s="344" t="s">
        <v>128</v>
      </c>
      <c r="E29" s="344"/>
      <c r="F29" s="62" t="s">
        <v>4</v>
      </c>
      <c r="G29" s="49" t="s">
        <v>4</v>
      </c>
      <c r="H29" s="65" t="s">
        <v>4</v>
      </c>
    </row>
    <row r="30" spans="1:8" x14ac:dyDescent="0.25">
      <c r="A30" s="79" t="s">
        <v>4</v>
      </c>
      <c r="B30" s="62" t="s">
        <v>1143</v>
      </c>
      <c r="C30" s="62" t="s">
        <v>129</v>
      </c>
      <c r="D30" s="344" t="s">
        <v>130</v>
      </c>
      <c r="E30" s="344"/>
      <c r="F30" s="62" t="s">
        <v>4</v>
      </c>
      <c r="G30" s="49" t="s">
        <v>4</v>
      </c>
      <c r="H30" s="65" t="s">
        <v>4</v>
      </c>
    </row>
    <row r="31" spans="1:8" x14ac:dyDescent="0.25">
      <c r="A31" s="79" t="s">
        <v>4</v>
      </c>
      <c r="B31" s="62" t="s">
        <v>1143</v>
      </c>
      <c r="C31" s="62" t="s">
        <v>131</v>
      </c>
      <c r="D31" s="344" t="s">
        <v>132</v>
      </c>
      <c r="E31" s="344"/>
      <c r="F31" s="62" t="s">
        <v>4</v>
      </c>
      <c r="G31" s="49" t="s">
        <v>4</v>
      </c>
      <c r="H31" s="65" t="s">
        <v>4</v>
      </c>
    </row>
    <row r="32" spans="1:8" x14ac:dyDescent="0.25">
      <c r="A32" s="79" t="s">
        <v>4</v>
      </c>
      <c r="B32" s="62" t="s">
        <v>1143</v>
      </c>
      <c r="C32" s="62" t="s">
        <v>133</v>
      </c>
      <c r="D32" s="344" t="s">
        <v>134</v>
      </c>
      <c r="E32" s="344"/>
      <c r="F32" s="62" t="s">
        <v>4</v>
      </c>
      <c r="G32" s="49" t="s">
        <v>4</v>
      </c>
      <c r="H32" s="65" t="s">
        <v>4</v>
      </c>
    </row>
    <row r="33" spans="1:8" x14ac:dyDescent="0.25">
      <c r="A33" s="79" t="s">
        <v>4</v>
      </c>
      <c r="B33" s="62" t="s">
        <v>1143</v>
      </c>
      <c r="C33" s="62" t="s">
        <v>135</v>
      </c>
      <c r="D33" s="344" t="s">
        <v>136</v>
      </c>
      <c r="E33" s="344"/>
      <c r="F33" s="62" t="s">
        <v>4</v>
      </c>
      <c r="G33" s="49" t="s">
        <v>4</v>
      </c>
      <c r="H33" s="65" t="s">
        <v>4</v>
      </c>
    </row>
    <row r="34" spans="1:8" x14ac:dyDescent="0.25">
      <c r="A34" s="79" t="s">
        <v>4</v>
      </c>
      <c r="B34" s="62" t="s">
        <v>1143</v>
      </c>
      <c r="C34" s="62" t="s">
        <v>137</v>
      </c>
      <c r="D34" s="344" t="s">
        <v>138</v>
      </c>
      <c r="E34" s="344"/>
      <c r="F34" s="62" t="s">
        <v>4</v>
      </c>
      <c r="G34" s="49" t="s">
        <v>4</v>
      </c>
      <c r="H34" s="65" t="s">
        <v>4</v>
      </c>
    </row>
    <row r="35" spans="1:8" x14ac:dyDescent="0.25">
      <c r="A35" s="79" t="s">
        <v>4</v>
      </c>
      <c r="B35" s="62" t="s">
        <v>1143</v>
      </c>
      <c r="C35" s="62" t="s">
        <v>139</v>
      </c>
      <c r="D35" s="344" t="s">
        <v>140</v>
      </c>
      <c r="E35" s="344"/>
      <c r="F35" s="62" t="s">
        <v>4</v>
      </c>
      <c r="G35" s="49" t="s">
        <v>4</v>
      </c>
      <c r="H35" s="65" t="s">
        <v>4</v>
      </c>
    </row>
    <row r="36" spans="1:8" x14ac:dyDescent="0.25">
      <c r="A36" s="79" t="s">
        <v>4</v>
      </c>
      <c r="B36" s="62" t="s">
        <v>1143</v>
      </c>
      <c r="C36" s="62" t="s">
        <v>141</v>
      </c>
      <c r="D36" s="344" t="s">
        <v>142</v>
      </c>
      <c r="E36" s="344"/>
      <c r="F36" s="62" t="s">
        <v>4</v>
      </c>
      <c r="G36" s="49" t="s">
        <v>4</v>
      </c>
      <c r="H36" s="65" t="s">
        <v>4</v>
      </c>
    </row>
    <row r="37" spans="1:8" x14ac:dyDescent="0.25">
      <c r="A37" s="79" t="s">
        <v>4</v>
      </c>
      <c r="B37" s="62" t="s">
        <v>1143</v>
      </c>
      <c r="C37" s="62" t="s">
        <v>143</v>
      </c>
      <c r="D37" s="344" t="s">
        <v>144</v>
      </c>
      <c r="E37" s="344"/>
      <c r="F37" s="62" t="s">
        <v>4</v>
      </c>
      <c r="G37" s="49" t="s">
        <v>4</v>
      </c>
      <c r="H37" s="65" t="s">
        <v>4</v>
      </c>
    </row>
    <row r="38" spans="1:8" x14ac:dyDescent="0.25">
      <c r="A38" s="79" t="s">
        <v>4</v>
      </c>
      <c r="B38" s="62" t="s">
        <v>1143</v>
      </c>
      <c r="C38" s="62" t="s">
        <v>145</v>
      </c>
      <c r="D38" s="344" t="s">
        <v>146</v>
      </c>
      <c r="E38" s="344"/>
      <c r="F38" s="62" t="s">
        <v>4</v>
      </c>
      <c r="G38" s="49" t="s">
        <v>4</v>
      </c>
      <c r="H38" s="65" t="s">
        <v>4</v>
      </c>
    </row>
    <row r="39" spans="1:8" x14ac:dyDescent="0.25">
      <c r="A39" s="79" t="s">
        <v>4</v>
      </c>
      <c r="B39" s="62" t="s">
        <v>1143</v>
      </c>
      <c r="C39" s="62" t="s">
        <v>147</v>
      </c>
      <c r="D39" s="344" t="s">
        <v>148</v>
      </c>
      <c r="E39" s="344"/>
      <c r="F39" s="62" t="s">
        <v>4</v>
      </c>
      <c r="G39" s="49" t="s">
        <v>4</v>
      </c>
      <c r="H39" s="65" t="s">
        <v>4</v>
      </c>
    </row>
    <row r="40" spans="1:8" x14ac:dyDescent="0.25">
      <c r="A40" s="79" t="s">
        <v>4</v>
      </c>
      <c r="B40" s="62" t="s">
        <v>1143</v>
      </c>
      <c r="C40" s="62" t="s">
        <v>149</v>
      </c>
      <c r="D40" s="344" t="s">
        <v>150</v>
      </c>
      <c r="E40" s="344"/>
      <c r="F40" s="62" t="s">
        <v>4</v>
      </c>
      <c r="G40" s="49" t="s">
        <v>4</v>
      </c>
      <c r="H40" s="65" t="s">
        <v>4</v>
      </c>
    </row>
    <row r="41" spans="1:8" x14ac:dyDescent="0.25">
      <c r="A41" s="79" t="s">
        <v>4</v>
      </c>
      <c r="B41" s="62" t="s">
        <v>1143</v>
      </c>
      <c r="C41" s="62" t="s">
        <v>151</v>
      </c>
      <c r="D41" s="344" t="s">
        <v>152</v>
      </c>
      <c r="E41" s="344"/>
      <c r="F41" s="62" t="s">
        <v>4</v>
      </c>
      <c r="G41" s="49" t="s">
        <v>4</v>
      </c>
      <c r="H41" s="65" t="s">
        <v>4</v>
      </c>
    </row>
    <row r="42" spans="1:8" x14ac:dyDescent="0.25">
      <c r="A42" s="79" t="s">
        <v>4</v>
      </c>
      <c r="B42" s="62" t="s">
        <v>1143</v>
      </c>
      <c r="C42" s="62" t="s">
        <v>153</v>
      </c>
      <c r="D42" s="344" t="s">
        <v>154</v>
      </c>
      <c r="E42" s="344"/>
      <c r="F42" s="62" t="s">
        <v>4</v>
      </c>
      <c r="G42" s="49" t="s">
        <v>4</v>
      </c>
      <c r="H42" s="65" t="s">
        <v>4</v>
      </c>
    </row>
    <row r="43" spans="1:8" x14ac:dyDescent="0.25">
      <c r="A43" s="79" t="s">
        <v>4</v>
      </c>
      <c r="B43" s="62" t="s">
        <v>1143</v>
      </c>
      <c r="C43" s="62" t="s">
        <v>155</v>
      </c>
      <c r="D43" s="344" t="s">
        <v>156</v>
      </c>
      <c r="E43" s="344"/>
      <c r="F43" s="62" t="s">
        <v>4</v>
      </c>
      <c r="G43" s="49" t="s">
        <v>4</v>
      </c>
      <c r="H43" s="65" t="s">
        <v>4</v>
      </c>
    </row>
    <row r="44" spans="1:8" x14ac:dyDescent="0.25">
      <c r="A44" s="79" t="s">
        <v>4</v>
      </c>
      <c r="B44" s="62" t="s">
        <v>1143</v>
      </c>
      <c r="C44" s="62" t="s">
        <v>157</v>
      </c>
      <c r="D44" s="344" t="s">
        <v>158</v>
      </c>
      <c r="E44" s="344"/>
      <c r="F44" s="62" t="s">
        <v>4</v>
      </c>
      <c r="G44" s="49" t="s">
        <v>4</v>
      </c>
      <c r="H44" s="65" t="s">
        <v>4</v>
      </c>
    </row>
    <row r="45" spans="1:8" x14ac:dyDescent="0.25">
      <c r="A45" s="79" t="s">
        <v>4</v>
      </c>
      <c r="B45" s="62" t="s">
        <v>1143</v>
      </c>
      <c r="C45" s="62" t="s">
        <v>159</v>
      </c>
      <c r="D45" s="344" t="s">
        <v>160</v>
      </c>
      <c r="E45" s="344"/>
      <c r="F45" s="62" t="s">
        <v>4</v>
      </c>
      <c r="G45" s="49" t="s">
        <v>4</v>
      </c>
      <c r="H45" s="65" t="s">
        <v>4</v>
      </c>
    </row>
    <row r="46" spans="1:8" x14ac:dyDescent="0.25">
      <c r="A46" s="79" t="s">
        <v>4</v>
      </c>
      <c r="B46" s="62" t="s">
        <v>1143</v>
      </c>
      <c r="C46" s="62" t="s">
        <v>161</v>
      </c>
      <c r="D46" s="344" t="s">
        <v>162</v>
      </c>
      <c r="E46" s="344"/>
      <c r="F46" s="62" t="s">
        <v>4</v>
      </c>
      <c r="G46" s="49" t="s">
        <v>4</v>
      </c>
      <c r="H46" s="65" t="s">
        <v>4</v>
      </c>
    </row>
    <row r="47" spans="1:8" x14ac:dyDescent="0.25">
      <c r="A47" s="79" t="s">
        <v>4</v>
      </c>
      <c r="B47" s="62" t="s">
        <v>1143</v>
      </c>
      <c r="C47" s="62" t="s">
        <v>163</v>
      </c>
      <c r="D47" s="344" t="s">
        <v>164</v>
      </c>
      <c r="E47" s="344"/>
      <c r="F47" s="62" t="s">
        <v>4</v>
      </c>
      <c r="G47" s="49" t="s">
        <v>4</v>
      </c>
      <c r="H47" s="65" t="s">
        <v>4</v>
      </c>
    </row>
    <row r="48" spans="1:8" x14ac:dyDescent="0.25">
      <c r="A48" s="79" t="s">
        <v>4</v>
      </c>
      <c r="B48" s="62" t="s">
        <v>1143</v>
      </c>
      <c r="C48" s="62" t="s">
        <v>165</v>
      </c>
      <c r="D48" s="344" t="s">
        <v>166</v>
      </c>
      <c r="E48" s="344"/>
      <c r="F48" s="62" t="s">
        <v>4</v>
      </c>
      <c r="G48" s="49" t="s">
        <v>4</v>
      </c>
      <c r="H48" s="65" t="s">
        <v>4</v>
      </c>
    </row>
    <row r="49" spans="1:8" x14ac:dyDescent="0.25">
      <c r="A49" s="79" t="s">
        <v>4</v>
      </c>
      <c r="B49" s="62" t="s">
        <v>1143</v>
      </c>
      <c r="C49" s="62" t="s">
        <v>167</v>
      </c>
      <c r="D49" s="344" t="s">
        <v>168</v>
      </c>
      <c r="E49" s="344"/>
      <c r="F49" s="62" t="s">
        <v>4</v>
      </c>
      <c r="G49" s="49" t="s">
        <v>4</v>
      </c>
      <c r="H49" s="65" t="s">
        <v>4</v>
      </c>
    </row>
    <row r="50" spans="1:8" x14ac:dyDescent="0.25">
      <c r="A50" s="79" t="s">
        <v>4</v>
      </c>
      <c r="B50" s="62" t="s">
        <v>1143</v>
      </c>
      <c r="C50" s="62" t="s">
        <v>169</v>
      </c>
      <c r="D50" s="344" t="s">
        <v>170</v>
      </c>
      <c r="E50" s="344"/>
      <c r="F50" s="62" t="s">
        <v>4</v>
      </c>
      <c r="G50" s="49" t="s">
        <v>4</v>
      </c>
      <c r="H50" s="65" t="s">
        <v>4</v>
      </c>
    </row>
    <row r="51" spans="1:8" x14ac:dyDescent="0.25">
      <c r="A51" s="79" t="s">
        <v>4</v>
      </c>
      <c r="B51" s="62" t="s">
        <v>1143</v>
      </c>
      <c r="C51" s="62" t="s">
        <v>171</v>
      </c>
      <c r="D51" s="344" t="s">
        <v>172</v>
      </c>
      <c r="E51" s="344"/>
      <c r="F51" s="62" t="s">
        <v>4</v>
      </c>
      <c r="G51" s="49" t="s">
        <v>4</v>
      </c>
      <c r="H51" s="65" t="s">
        <v>4</v>
      </c>
    </row>
    <row r="52" spans="1:8" x14ac:dyDescent="0.25">
      <c r="A52" s="79" t="s">
        <v>4</v>
      </c>
      <c r="B52" s="62" t="s">
        <v>1143</v>
      </c>
      <c r="C52" s="62" t="s">
        <v>173</v>
      </c>
      <c r="D52" s="344" t="s">
        <v>174</v>
      </c>
      <c r="E52" s="344"/>
      <c r="F52" s="62" t="s">
        <v>4</v>
      </c>
      <c r="G52" s="49" t="s">
        <v>4</v>
      </c>
      <c r="H52" s="65" t="s">
        <v>4</v>
      </c>
    </row>
    <row r="53" spans="1:8" x14ac:dyDescent="0.25">
      <c r="A53" s="79" t="s">
        <v>4</v>
      </c>
      <c r="B53" s="62" t="s">
        <v>1143</v>
      </c>
      <c r="C53" s="62" t="s">
        <v>175</v>
      </c>
      <c r="D53" s="344" t="s">
        <v>59</v>
      </c>
      <c r="E53" s="344"/>
      <c r="F53" s="62" t="s">
        <v>4</v>
      </c>
      <c r="G53" s="49" t="s">
        <v>4</v>
      </c>
      <c r="H53" s="65" t="s">
        <v>4</v>
      </c>
    </row>
    <row r="54" spans="1:8" x14ac:dyDescent="0.25">
      <c r="A54" s="79" t="s">
        <v>4</v>
      </c>
      <c r="B54" s="62" t="s">
        <v>1143</v>
      </c>
      <c r="C54" s="62" t="s">
        <v>176</v>
      </c>
      <c r="D54" s="344" t="s">
        <v>70</v>
      </c>
      <c r="E54" s="344"/>
      <c r="F54" s="62" t="s">
        <v>4</v>
      </c>
      <c r="G54" s="49" t="s">
        <v>4</v>
      </c>
      <c r="H54" s="65" t="s">
        <v>4</v>
      </c>
    </row>
    <row r="55" spans="1:8" x14ac:dyDescent="0.25">
      <c r="A55" s="79" t="s">
        <v>4</v>
      </c>
      <c r="B55" s="62" t="s">
        <v>1143</v>
      </c>
      <c r="C55" s="62" t="s">
        <v>177</v>
      </c>
      <c r="D55" s="344" t="s">
        <v>26</v>
      </c>
      <c r="E55" s="344"/>
      <c r="F55" s="62" t="s">
        <v>4</v>
      </c>
      <c r="G55" s="49" t="s">
        <v>4</v>
      </c>
      <c r="H55" s="65" t="s">
        <v>4</v>
      </c>
    </row>
    <row r="56" spans="1:8" x14ac:dyDescent="0.25">
      <c r="A56" s="79" t="s">
        <v>4</v>
      </c>
      <c r="B56" s="62" t="s">
        <v>1143</v>
      </c>
      <c r="C56" s="62" t="s">
        <v>178</v>
      </c>
      <c r="D56" s="344" t="s">
        <v>72</v>
      </c>
      <c r="E56" s="344"/>
      <c r="F56" s="62" t="s">
        <v>4</v>
      </c>
      <c r="G56" s="49" t="s">
        <v>4</v>
      </c>
      <c r="H56" s="65" t="s">
        <v>4</v>
      </c>
    </row>
    <row r="57" spans="1:8" x14ac:dyDescent="0.25">
      <c r="A57" s="79" t="s">
        <v>4</v>
      </c>
      <c r="B57" s="62" t="s">
        <v>1143</v>
      </c>
      <c r="C57" s="62" t="s">
        <v>179</v>
      </c>
      <c r="D57" s="344" t="s">
        <v>33</v>
      </c>
      <c r="E57" s="344"/>
      <c r="F57" s="62" t="s">
        <v>4</v>
      </c>
      <c r="G57" s="49" t="s">
        <v>4</v>
      </c>
      <c r="H57" s="65" t="s">
        <v>4</v>
      </c>
    </row>
    <row r="58" spans="1:8" x14ac:dyDescent="0.25">
      <c r="A58" s="1" t="s">
        <v>213</v>
      </c>
      <c r="B58" s="2" t="s">
        <v>89</v>
      </c>
      <c r="C58" s="2" t="s">
        <v>214</v>
      </c>
      <c r="D58" s="259" t="s">
        <v>215</v>
      </c>
      <c r="E58" s="259"/>
      <c r="F58" s="2" t="s">
        <v>216</v>
      </c>
      <c r="G58" s="37">
        <v>1.08</v>
      </c>
      <c r="H58" s="38">
        <v>0</v>
      </c>
    </row>
    <row r="59" spans="1:8" x14ac:dyDescent="0.25">
      <c r="A59" s="69"/>
      <c r="D59" s="80" t="s">
        <v>1144</v>
      </c>
      <c r="E59" s="361" t="s">
        <v>1145</v>
      </c>
      <c r="F59" s="361"/>
      <c r="G59" s="81">
        <v>1.08</v>
      </c>
      <c r="H59" s="82"/>
    </row>
    <row r="60" spans="1:8" x14ac:dyDescent="0.25">
      <c r="A60" s="1" t="s">
        <v>221</v>
      </c>
      <c r="B60" s="2" t="s">
        <v>89</v>
      </c>
      <c r="C60" s="2" t="s">
        <v>222</v>
      </c>
      <c r="D60" s="259" t="s">
        <v>223</v>
      </c>
      <c r="E60" s="259"/>
      <c r="F60" s="2" t="s">
        <v>216</v>
      </c>
      <c r="G60" s="37">
        <v>9.8560800000000004</v>
      </c>
      <c r="H60" s="38">
        <v>0</v>
      </c>
    </row>
    <row r="61" spans="1:8" x14ac:dyDescent="0.25">
      <c r="A61" s="69"/>
      <c r="D61" s="80" t="s">
        <v>1146</v>
      </c>
      <c r="E61" s="361" t="s">
        <v>1147</v>
      </c>
      <c r="F61" s="361"/>
      <c r="G61" s="81">
        <v>6.5893800000000002</v>
      </c>
      <c r="H61" s="82"/>
    </row>
    <row r="62" spans="1:8" x14ac:dyDescent="0.25">
      <c r="A62" s="1" t="s">
        <v>4</v>
      </c>
      <c r="B62" s="2" t="s">
        <v>4</v>
      </c>
      <c r="C62" s="2" t="s">
        <v>4</v>
      </c>
      <c r="D62" s="80" t="s">
        <v>1148</v>
      </c>
      <c r="E62" s="361" t="s">
        <v>4</v>
      </c>
      <c r="F62" s="361"/>
      <c r="G62" s="81">
        <v>1.794</v>
      </c>
      <c r="H62" s="67" t="s">
        <v>4</v>
      </c>
    </row>
    <row r="63" spans="1:8" x14ac:dyDescent="0.25">
      <c r="A63" s="1" t="s">
        <v>4</v>
      </c>
      <c r="B63" s="2" t="s">
        <v>4</v>
      </c>
      <c r="C63" s="2" t="s">
        <v>4</v>
      </c>
      <c r="D63" s="80" t="s">
        <v>1149</v>
      </c>
      <c r="E63" s="361" t="s">
        <v>4</v>
      </c>
      <c r="F63" s="361"/>
      <c r="G63" s="81">
        <v>0.73829999999999996</v>
      </c>
      <c r="H63" s="67" t="s">
        <v>4</v>
      </c>
    </row>
    <row r="64" spans="1:8" x14ac:dyDescent="0.25">
      <c r="A64" s="1" t="s">
        <v>4</v>
      </c>
      <c r="B64" s="2" t="s">
        <v>4</v>
      </c>
      <c r="C64" s="2" t="s">
        <v>4</v>
      </c>
      <c r="D64" s="80" t="s">
        <v>1150</v>
      </c>
      <c r="E64" s="361" t="s">
        <v>4</v>
      </c>
      <c r="F64" s="361"/>
      <c r="G64" s="81">
        <v>0.73440000000000005</v>
      </c>
      <c r="H64" s="67" t="s">
        <v>4</v>
      </c>
    </row>
    <row r="65" spans="1:8" x14ac:dyDescent="0.25">
      <c r="A65" s="1" t="s">
        <v>224</v>
      </c>
      <c r="B65" s="2" t="s">
        <v>89</v>
      </c>
      <c r="C65" s="2" t="s">
        <v>225</v>
      </c>
      <c r="D65" s="259" t="s">
        <v>226</v>
      </c>
      <c r="E65" s="259"/>
      <c r="F65" s="2" t="s">
        <v>216</v>
      </c>
      <c r="G65" s="37">
        <v>4.9280400000000002</v>
      </c>
      <c r="H65" s="38">
        <v>0</v>
      </c>
    </row>
    <row r="66" spans="1:8" x14ac:dyDescent="0.25">
      <c r="A66" s="69"/>
      <c r="D66" s="80" t="s">
        <v>1151</v>
      </c>
      <c r="E66" s="361" t="s">
        <v>4</v>
      </c>
      <c r="F66" s="361"/>
      <c r="G66" s="81">
        <v>4.9280400000000002</v>
      </c>
      <c r="H66" s="82"/>
    </row>
    <row r="67" spans="1:8" x14ac:dyDescent="0.25">
      <c r="A67" s="1" t="s">
        <v>227</v>
      </c>
      <c r="B67" s="2" t="s">
        <v>89</v>
      </c>
      <c r="C67" s="2" t="s">
        <v>228</v>
      </c>
      <c r="D67" s="259" t="s">
        <v>229</v>
      </c>
      <c r="E67" s="259"/>
      <c r="F67" s="2" t="s">
        <v>216</v>
      </c>
      <c r="G67" s="37">
        <v>10.93608</v>
      </c>
      <c r="H67" s="38">
        <v>0</v>
      </c>
    </row>
    <row r="68" spans="1:8" x14ac:dyDescent="0.25">
      <c r="A68" s="69"/>
      <c r="D68" s="80" t="s">
        <v>1152</v>
      </c>
      <c r="E68" s="361" t="s">
        <v>1147</v>
      </c>
      <c r="F68" s="361"/>
      <c r="G68" s="81">
        <v>9.8560800000000004</v>
      </c>
      <c r="H68" s="82"/>
    </row>
    <row r="69" spans="1:8" x14ac:dyDescent="0.25">
      <c r="A69" s="1" t="s">
        <v>4</v>
      </c>
      <c r="B69" s="2" t="s">
        <v>4</v>
      </c>
      <c r="C69" s="2" t="s">
        <v>4</v>
      </c>
      <c r="D69" s="80" t="s">
        <v>1144</v>
      </c>
      <c r="E69" s="361" t="s">
        <v>1145</v>
      </c>
      <c r="F69" s="361"/>
      <c r="G69" s="81">
        <v>1.08</v>
      </c>
      <c r="H69" s="67" t="s">
        <v>4</v>
      </c>
    </row>
    <row r="70" spans="1:8" x14ac:dyDescent="0.25">
      <c r="A70" s="1" t="s">
        <v>231</v>
      </c>
      <c r="B70" s="2" t="s">
        <v>89</v>
      </c>
      <c r="C70" s="2" t="s">
        <v>232</v>
      </c>
      <c r="D70" s="259" t="s">
        <v>233</v>
      </c>
      <c r="E70" s="259"/>
      <c r="F70" s="2" t="s">
        <v>216</v>
      </c>
      <c r="G70" s="37">
        <v>10.93608</v>
      </c>
      <c r="H70" s="38">
        <v>0</v>
      </c>
    </row>
    <row r="71" spans="1:8" x14ac:dyDescent="0.25">
      <c r="A71" s="69"/>
      <c r="D71" s="80" t="s">
        <v>1152</v>
      </c>
      <c r="E71" s="361" t="s">
        <v>1147</v>
      </c>
      <c r="F71" s="361"/>
      <c r="G71" s="81">
        <v>9.8560800000000004</v>
      </c>
      <c r="H71" s="82"/>
    </row>
    <row r="72" spans="1:8" x14ac:dyDescent="0.25">
      <c r="A72" s="1" t="s">
        <v>4</v>
      </c>
      <c r="B72" s="2" t="s">
        <v>4</v>
      </c>
      <c r="C72" s="2" t="s">
        <v>4</v>
      </c>
      <c r="D72" s="80" t="s">
        <v>1144</v>
      </c>
      <c r="E72" s="361" t="s">
        <v>1145</v>
      </c>
      <c r="F72" s="361"/>
      <c r="G72" s="81">
        <v>1.08</v>
      </c>
      <c r="H72" s="67" t="s">
        <v>4</v>
      </c>
    </row>
    <row r="73" spans="1:8" x14ac:dyDescent="0.25">
      <c r="A73" s="1" t="s">
        <v>234</v>
      </c>
      <c r="B73" s="2" t="s">
        <v>89</v>
      </c>
      <c r="C73" s="2" t="s">
        <v>235</v>
      </c>
      <c r="D73" s="259" t="s">
        <v>236</v>
      </c>
      <c r="E73" s="259"/>
      <c r="F73" s="2" t="s">
        <v>216</v>
      </c>
      <c r="G73" s="37">
        <v>6.3771899999999997</v>
      </c>
      <c r="H73" s="38">
        <v>0</v>
      </c>
    </row>
    <row r="74" spans="1:8" x14ac:dyDescent="0.25">
      <c r="A74" s="69"/>
      <c r="D74" s="80" t="s">
        <v>1153</v>
      </c>
      <c r="E74" s="361" t="s">
        <v>4</v>
      </c>
      <c r="F74" s="361"/>
      <c r="G74" s="81">
        <v>5.2971899999999996</v>
      </c>
      <c r="H74" s="82"/>
    </row>
    <row r="75" spans="1:8" x14ac:dyDescent="0.25">
      <c r="A75" s="1" t="s">
        <v>4</v>
      </c>
      <c r="B75" s="2" t="s">
        <v>4</v>
      </c>
      <c r="C75" s="2" t="s">
        <v>4</v>
      </c>
      <c r="D75" s="80" t="s">
        <v>1144</v>
      </c>
      <c r="E75" s="361" t="s">
        <v>1145</v>
      </c>
      <c r="F75" s="361"/>
      <c r="G75" s="81">
        <v>1.08</v>
      </c>
      <c r="H75" s="67" t="s">
        <v>4</v>
      </c>
    </row>
    <row r="76" spans="1:8" x14ac:dyDescent="0.25">
      <c r="A76" s="1" t="s">
        <v>237</v>
      </c>
      <c r="B76" s="2" t="s">
        <v>89</v>
      </c>
      <c r="C76" s="2" t="s">
        <v>238</v>
      </c>
      <c r="D76" s="259" t="s">
        <v>239</v>
      </c>
      <c r="E76" s="259"/>
      <c r="F76" s="2" t="s">
        <v>216</v>
      </c>
      <c r="G76" s="37">
        <v>4.5588899999999999</v>
      </c>
      <c r="H76" s="38">
        <v>0</v>
      </c>
    </row>
    <row r="77" spans="1:8" x14ac:dyDescent="0.25">
      <c r="A77" s="69"/>
      <c r="D77" s="80" t="s">
        <v>1154</v>
      </c>
      <c r="E77" s="361" t="s">
        <v>1147</v>
      </c>
      <c r="F77" s="361"/>
      <c r="G77" s="81">
        <v>6.5613900000000003</v>
      </c>
      <c r="H77" s="82"/>
    </row>
    <row r="78" spans="1:8" x14ac:dyDescent="0.25">
      <c r="A78" s="1" t="s">
        <v>4</v>
      </c>
      <c r="B78" s="2" t="s">
        <v>4</v>
      </c>
      <c r="C78" s="2" t="s">
        <v>4</v>
      </c>
      <c r="D78" s="80" t="s">
        <v>1155</v>
      </c>
      <c r="E78" s="361" t="s">
        <v>4</v>
      </c>
      <c r="F78" s="361"/>
      <c r="G78" s="81">
        <v>-0.89700000000000002</v>
      </c>
      <c r="H78" s="67" t="s">
        <v>4</v>
      </c>
    </row>
    <row r="79" spans="1:8" x14ac:dyDescent="0.25">
      <c r="A79" s="1" t="s">
        <v>4</v>
      </c>
      <c r="B79" s="2" t="s">
        <v>4</v>
      </c>
      <c r="C79" s="2" t="s">
        <v>4</v>
      </c>
      <c r="D79" s="80" t="s">
        <v>1156</v>
      </c>
      <c r="E79" s="361" t="s">
        <v>4</v>
      </c>
      <c r="F79" s="361"/>
      <c r="G79" s="81">
        <v>-0.73829999999999996</v>
      </c>
      <c r="H79" s="67" t="s">
        <v>4</v>
      </c>
    </row>
    <row r="80" spans="1:8" x14ac:dyDescent="0.25">
      <c r="A80" s="1" t="s">
        <v>4</v>
      </c>
      <c r="B80" s="2" t="s">
        <v>4</v>
      </c>
      <c r="C80" s="2" t="s">
        <v>4</v>
      </c>
      <c r="D80" s="80" t="s">
        <v>1157</v>
      </c>
      <c r="E80" s="361" t="s">
        <v>4</v>
      </c>
      <c r="F80" s="361"/>
      <c r="G80" s="81">
        <v>-0.36720000000000003</v>
      </c>
      <c r="H80" s="67" t="s">
        <v>4</v>
      </c>
    </row>
    <row r="81" spans="1:8" x14ac:dyDescent="0.25">
      <c r="A81" s="1" t="s">
        <v>241</v>
      </c>
      <c r="B81" s="2" t="s">
        <v>89</v>
      </c>
      <c r="C81" s="2" t="s">
        <v>242</v>
      </c>
      <c r="D81" s="259" t="s">
        <v>243</v>
      </c>
      <c r="E81" s="259"/>
      <c r="F81" s="2" t="s">
        <v>216</v>
      </c>
      <c r="G81" s="37">
        <v>0.2442</v>
      </c>
      <c r="H81" s="38">
        <v>0</v>
      </c>
    </row>
    <row r="82" spans="1:8" x14ac:dyDescent="0.25">
      <c r="A82" s="69"/>
      <c r="D82" s="80" t="s">
        <v>1158</v>
      </c>
      <c r="E82" s="361" t="s">
        <v>1145</v>
      </c>
      <c r="F82" s="361"/>
      <c r="G82" s="81">
        <v>0.2442</v>
      </c>
      <c r="H82" s="82"/>
    </row>
    <row r="83" spans="1:8" x14ac:dyDescent="0.25">
      <c r="A83" s="1" t="s">
        <v>244</v>
      </c>
      <c r="B83" s="2" t="s">
        <v>89</v>
      </c>
      <c r="C83" s="2" t="s">
        <v>245</v>
      </c>
      <c r="D83" s="259" t="s">
        <v>246</v>
      </c>
      <c r="E83" s="259"/>
      <c r="F83" s="2" t="s">
        <v>216</v>
      </c>
      <c r="G83" s="37">
        <v>6.3771899999999997</v>
      </c>
      <c r="H83" s="38">
        <v>0</v>
      </c>
    </row>
    <row r="84" spans="1:8" x14ac:dyDescent="0.25">
      <c r="A84" s="69"/>
      <c r="D84" s="80" t="s">
        <v>1153</v>
      </c>
      <c r="E84" s="361" t="s">
        <v>4</v>
      </c>
      <c r="F84" s="361"/>
      <c r="G84" s="81">
        <v>5.2971899999999996</v>
      </c>
      <c r="H84" s="82"/>
    </row>
    <row r="85" spans="1:8" x14ac:dyDescent="0.25">
      <c r="A85" s="1" t="s">
        <v>4</v>
      </c>
      <c r="B85" s="2" t="s">
        <v>4</v>
      </c>
      <c r="C85" s="2" t="s">
        <v>4</v>
      </c>
      <c r="D85" s="80" t="s">
        <v>1144</v>
      </c>
      <c r="E85" s="361" t="s">
        <v>1145</v>
      </c>
      <c r="F85" s="361"/>
      <c r="G85" s="81">
        <v>1.08</v>
      </c>
      <c r="H85" s="67" t="s">
        <v>4</v>
      </c>
    </row>
    <row r="86" spans="1:8" x14ac:dyDescent="0.25">
      <c r="A86" s="1" t="s">
        <v>248</v>
      </c>
      <c r="B86" s="2" t="s">
        <v>89</v>
      </c>
      <c r="C86" s="2" t="s">
        <v>249</v>
      </c>
      <c r="D86" s="259" t="s">
        <v>250</v>
      </c>
      <c r="E86" s="259"/>
      <c r="F86" s="2" t="s">
        <v>251</v>
      </c>
      <c r="G86" s="37">
        <v>2.99</v>
      </c>
      <c r="H86" s="38">
        <v>0</v>
      </c>
    </row>
    <row r="87" spans="1:8" x14ac:dyDescent="0.25">
      <c r="A87" s="69"/>
      <c r="D87" s="80" t="s">
        <v>1159</v>
      </c>
      <c r="E87" s="361" t="s">
        <v>4</v>
      </c>
      <c r="F87" s="361"/>
      <c r="G87" s="81">
        <v>2.99</v>
      </c>
      <c r="H87" s="82"/>
    </row>
    <row r="88" spans="1:8" x14ac:dyDescent="0.25">
      <c r="A88" s="1" t="s">
        <v>254</v>
      </c>
      <c r="B88" s="2" t="s">
        <v>89</v>
      </c>
      <c r="C88" s="2" t="s">
        <v>255</v>
      </c>
      <c r="D88" s="259" t="s">
        <v>256</v>
      </c>
      <c r="E88" s="259"/>
      <c r="F88" s="2" t="s">
        <v>216</v>
      </c>
      <c r="G88" s="37">
        <v>0.74</v>
      </c>
      <c r="H88" s="38">
        <v>0</v>
      </c>
    </row>
    <row r="89" spans="1:8" x14ac:dyDescent="0.25">
      <c r="A89" s="69"/>
      <c r="D89" s="80" t="s">
        <v>1160</v>
      </c>
      <c r="E89" s="361" t="s">
        <v>4</v>
      </c>
      <c r="F89" s="361"/>
      <c r="G89" s="81">
        <v>0.74</v>
      </c>
      <c r="H89" s="82"/>
    </row>
    <row r="90" spans="1:8" x14ac:dyDescent="0.25">
      <c r="A90" s="1" t="s">
        <v>258</v>
      </c>
      <c r="B90" s="2" t="s">
        <v>89</v>
      </c>
      <c r="C90" s="2" t="s">
        <v>259</v>
      </c>
      <c r="D90" s="259" t="s">
        <v>260</v>
      </c>
      <c r="E90" s="259"/>
      <c r="F90" s="2" t="s">
        <v>251</v>
      </c>
      <c r="G90" s="37">
        <v>5.18</v>
      </c>
      <c r="H90" s="38">
        <v>0</v>
      </c>
    </row>
    <row r="91" spans="1:8" x14ac:dyDescent="0.25">
      <c r="A91" s="69"/>
      <c r="D91" s="80" t="s">
        <v>1161</v>
      </c>
      <c r="E91" s="361" t="s">
        <v>4</v>
      </c>
      <c r="F91" s="361"/>
      <c r="G91" s="81">
        <v>5.18</v>
      </c>
      <c r="H91" s="82"/>
    </row>
    <row r="92" spans="1:8" x14ac:dyDescent="0.25">
      <c r="A92" s="1" t="s">
        <v>90</v>
      </c>
      <c r="B92" s="2" t="s">
        <v>89</v>
      </c>
      <c r="C92" s="2" t="s">
        <v>261</v>
      </c>
      <c r="D92" s="259" t="s">
        <v>262</v>
      </c>
      <c r="E92" s="259"/>
      <c r="F92" s="2" t="s">
        <v>251</v>
      </c>
      <c r="G92" s="37">
        <v>5.18</v>
      </c>
      <c r="H92" s="38">
        <v>0</v>
      </c>
    </row>
    <row r="93" spans="1:8" x14ac:dyDescent="0.25">
      <c r="A93" s="69"/>
      <c r="D93" s="80" t="s">
        <v>1161</v>
      </c>
      <c r="E93" s="361" t="s">
        <v>4</v>
      </c>
      <c r="F93" s="361"/>
      <c r="G93" s="81">
        <v>5.18</v>
      </c>
      <c r="H93" s="82"/>
    </row>
    <row r="94" spans="1:8" x14ac:dyDescent="0.25">
      <c r="A94" s="1" t="s">
        <v>263</v>
      </c>
      <c r="B94" s="2" t="s">
        <v>89</v>
      </c>
      <c r="C94" s="2" t="s">
        <v>264</v>
      </c>
      <c r="D94" s="259" t="s">
        <v>265</v>
      </c>
      <c r="E94" s="259"/>
      <c r="F94" s="2" t="s">
        <v>266</v>
      </c>
      <c r="G94" s="37">
        <v>2.495E-2</v>
      </c>
      <c r="H94" s="38">
        <v>0</v>
      </c>
    </row>
    <row r="95" spans="1:8" x14ac:dyDescent="0.25">
      <c r="A95" s="69"/>
      <c r="D95" s="80" t="s">
        <v>1162</v>
      </c>
      <c r="E95" s="361" t="s">
        <v>1163</v>
      </c>
      <c r="F95" s="361"/>
      <c r="G95" s="81">
        <v>1.653E-2</v>
      </c>
      <c r="H95" s="82"/>
    </row>
    <row r="96" spans="1:8" x14ac:dyDescent="0.25">
      <c r="A96" s="1" t="s">
        <v>4</v>
      </c>
      <c r="B96" s="2" t="s">
        <v>4</v>
      </c>
      <c r="C96" s="2" t="s">
        <v>4</v>
      </c>
      <c r="D96" s="80" t="s">
        <v>1164</v>
      </c>
      <c r="E96" s="361" t="s">
        <v>1165</v>
      </c>
      <c r="F96" s="361"/>
      <c r="G96" s="81">
        <v>8.4200000000000004E-3</v>
      </c>
      <c r="H96" s="67" t="s">
        <v>4</v>
      </c>
    </row>
    <row r="97" spans="1:8" x14ac:dyDescent="0.25">
      <c r="A97" s="1" t="s">
        <v>267</v>
      </c>
      <c r="B97" s="2" t="s">
        <v>89</v>
      </c>
      <c r="C97" s="2" t="s">
        <v>268</v>
      </c>
      <c r="D97" s="259" t="s">
        <v>269</v>
      </c>
      <c r="E97" s="259"/>
      <c r="F97" s="2" t="s">
        <v>216</v>
      </c>
      <c r="G97" s="37">
        <v>1.9063000000000001</v>
      </c>
      <c r="H97" s="38">
        <v>0</v>
      </c>
    </row>
    <row r="98" spans="1:8" x14ac:dyDescent="0.25">
      <c r="A98" s="69"/>
      <c r="D98" s="80" t="s">
        <v>1166</v>
      </c>
      <c r="E98" s="361" t="s">
        <v>4</v>
      </c>
      <c r="F98" s="361"/>
      <c r="G98" s="81">
        <v>1.1679999999999999</v>
      </c>
      <c r="H98" s="82"/>
    </row>
    <row r="99" spans="1:8" x14ac:dyDescent="0.25">
      <c r="A99" s="1" t="s">
        <v>4</v>
      </c>
      <c r="B99" s="2" t="s">
        <v>4</v>
      </c>
      <c r="C99" s="2" t="s">
        <v>4</v>
      </c>
      <c r="D99" s="80" t="s">
        <v>1167</v>
      </c>
      <c r="E99" s="361" t="s">
        <v>4</v>
      </c>
      <c r="F99" s="361"/>
      <c r="G99" s="81">
        <v>0.73829999999999996</v>
      </c>
      <c r="H99" s="67" t="s">
        <v>4</v>
      </c>
    </row>
    <row r="100" spans="1:8" x14ac:dyDescent="0.25">
      <c r="A100" s="1" t="s">
        <v>93</v>
      </c>
      <c r="B100" s="2" t="s">
        <v>89</v>
      </c>
      <c r="C100" s="2" t="s">
        <v>270</v>
      </c>
      <c r="D100" s="259" t="s">
        <v>271</v>
      </c>
      <c r="E100" s="259"/>
      <c r="F100" s="2" t="s">
        <v>251</v>
      </c>
      <c r="G100" s="37">
        <v>8.76</v>
      </c>
      <c r="H100" s="38">
        <v>0</v>
      </c>
    </row>
    <row r="101" spans="1:8" x14ac:dyDescent="0.25">
      <c r="A101" s="69"/>
      <c r="D101" s="80" t="s">
        <v>1168</v>
      </c>
      <c r="E101" s="361" t="s">
        <v>4</v>
      </c>
      <c r="F101" s="361"/>
      <c r="G101" s="81">
        <v>8.76</v>
      </c>
      <c r="H101" s="82"/>
    </row>
    <row r="102" spans="1:8" x14ac:dyDescent="0.25">
      <c r="A102" s="1" t="s">
        <v>95</v>
      </c>
      <c r="B102" s="2" t="s">
        <v>89</v>
      </c>
      <c r="C102" s="2" t="s">
        <v>272</v>
      </c>
      <c r="D102" s="259" t="s">
        <v>273</v>
      </c>
      <c r="E102" s="259"/>
      <c r="F102" s="2" t="s">
        <v>251</v>
      </c>
      <c r="G102" s="37">
        <v>8.76</v>
      </c>
      <c r="H102" s="38">
        <v>0</v>
      </c>
    </row>
    <row r="103" spans="1:8" x14ac:dyDescent="0.25">
      <c r="A103" s="69"/>
      <c r="D103" s="80" t="s">
        <v>1168</v>
      </c>
      <c r="E103" s="361" t="s">
        <v>4</v>
      </c>
      <c r="F103" s="361"/>
      <c r="G103" s="81">
        <v>8.76</v>
      </c>
      <c r="H103" s="82"/>
    </row>
    <row r="104" spans="1:8" x14ac:dyDescent="0.25">
      <c r="A104" s="1" t="s">
        <v>274</v>
      </c>
      <c r="B104" s="2" t="s">
        <v>89</v>
      </c>
      <c r="C104" s="2" t="s">
        <v>275</v>
      </c>
      <c r="D104" s="259" t="s">
        <v>276</v>
      </c>
      <c r="E104" s="259"/>
      <c r="F104" s="2" t="s">
        <v>266</v>
      </c>
      <c r="G104" s="37">
        <v>3.492E-2</v>
      </c>
      <c r="H104" s="38">
        <v>0</v>
      </c>
    </row>
    <row r="105" spans="1:8" x14ac:dyDescent="0.25">
      <c r="A105" s="69"/>
      <c r="D105" s="80" t="s">
        <v>1169</v>
      </c>
      <c r="E105" s="361" t="s">
        <v>1170</v>
      </c>
      <c r="F105" s="361"/>
      <c r="G105" s="81">
        <v>2.477E-2</v>
      </c>
      <c r="H105" s="82"/>
    </row>
    <row r="106" spans="1:8" x14ac:dyDescent="0.25">
      <c r="A106" s="1" t="s">
        <v>4</v>
      </c>
      <c r="B106" s="2" t="s">
        <v>4</v>
      </c>
      <c r="C106" s="2" t="s">
        <v>4</v>
      </c>
      <c r="D106" s="80" t="s">
        <v>1171</v>
      </c>
      <c r="E106" s="361" t="s">
        <v>1172</v>
      </c>
      <c r="F106" s="361"/>
      <c r="G106" s="81">
        <v>1.0149999999999999E-2</v>
      </c>
      <c r="H106" s="67" t="s">
        <v>4</v>
      </c>
    </row>
    <row r="107" spans="1:8" x14ac:dyDescent="0.25">
      <c r="A107" s="1" t="s">
        <v>97</v>
      </c>
      <c r="B107" s="2" t="s">
        <v>89</v>
      </c>
      <c r="C107" s="2" t="s">
        <v>277</v>
      </c>
      <c r="D107" s="259" t="s">
        <v>278</v>
      </c>
      <c r="E107" s="259"/>
      <c r="F107" s="2" t="s">
        <v>266</v>
      </c>
      <c r="G107" s="37">
        <v>6.4490000000000006E-2</v>
      </c>
      <c r="H107" s="38">
        <v>0</v>
      </c>
    </row>
    <row r="108" spans="1:8" x14ac:dyDescent="0.25">
      <c r="A108" s="69"/>
      <c r="D108" s="80" t="s">
        <v>1173</v>
      </c>
      <c r="E108" s="361" t="s">
        <v>1174</v>
      </c>
      <c r="F108" s="361"/>
      <c r="G108" s="81">
        <v>2.4049999999999998E-2</v>
      </c>
      <c r="H108" s="82"/>
    </row>
    <row r="109" spans="1:8" x14ac:dyDescent="0.25">
      <c r="A109" s="1" t="s">
        <v>4</v>
      </c>
      <c r="B109" s="2" t="s">
        <v>4</v>
      </c>
      <c r="C109" s="2" t="s">
        <v>4</v>
      </c>
      <c r="D109" s="80" t="s">
        <v>1175</v>
      </c>
      <c r="E109" s="361" t="s">
        <v>1176</v>
      </c>
      <c r="F109" s="361"/>
      <c r="G109" s="81">
        <v>4.0439999999999997E-2</v>
      </c>
      <c r="H109" s="67" t="s">
        <v>4</v>
      </c>
    </row>
    <row r="110" spans="1:8" x14ac:dyDescent="0.25">
      <c r="A110" s="1" t="s">
        <v>279</v>
      </c>
      <c r="B110" s="2" t="s">
        <v>89</v>
      </c>
      <c r="C110" s="2" t="s">
        <v>280</v>
      </c>
      <c r="D110" s="259" t="s">
        <v>281</v>
      </c>
      <c r="E110" s="259"/>
      <c r="F110" s="2" t="s">
        <v>216</v>
      </c>
      <c r="G110" s="37">
        <v>0.84719999999999995</v>
      </c>
      <c r="H110" s="38">
        <v>0</v>
      </c>
    </row>
    <row r="111" spans="1:8" x14ac:dyDescent="0.25">
      <c r="A111" s="69"/>
      <c r="D111" s="80" t="s">
        <v>1177</v>
      </c>
      <c r="E111" s="361" t="s">
        <v>4</v>
      </c>
      <c r="F111" s="361"/>
      <c r="G111" s="81">
        <v>0.48</v>
      </c>
      <c r="H111" s="82"/>
    </row>
    <row r="112" spans="1:8" x14ac:dyDescent="0.25">
      <c r="A112" s="1" t="s">
        <v>4</v>
      </c>
      <c r="B112" s="2" t="s">
        <v>4</v>
      </c>
      <c r="C112" s="2" t="s">
        <v>4</v>
      </c>
      <c r="D112" s="80" t="s">
        <v>1178</v>
      </c>
      <c r="E112" s="361" t="s">
        <v>4</v>
      </c>
      <c r="F112" s="361"/>
      <c r="G112" s="81">
        <v>0.36720000000000003</v>
      </c>
      <c r="H112" s="67" t="s">
        <v>4</v>
      </c>
    </row>
    <row r="113" spans="1:8" x14ac:dyDescent="0.25">
      <c r="A113" s="1" t="s">
        <v>99</v>
      </c>
      <c r="B113" s="2" t="s">
        <v>89</v>
      </c>
      <c r="C113" s="2" t="s">
        <v>282</v>
      </c>
      <c r="D113" s="259" t="s">
        <v>283</v>
      </c>
      <c r="E113" s="259"/>
      <c r="F113" s="2" t="s">
        <v>251</v>
      </c>
      <c r="G113" s="37">
        <v>4.8879999999999999</v>
      </c>
      <c r="H113" s="38">
        <v>0</v>
      </c>
    </row>
    <row r="114" spans="1:8" x14ac:dyDescent="0.25">
      <c r="A114" s="69"/>
      <c r="D114" s="80" t="s">
        <v>1179</v>
      </c>
      <c r="E114" s="361" t="s">
        <v>4</v>
      </c>
      <c r="F114" s="361"/>
      <c r="G114" s="81">
        <v>1.84</v>
      </c>
      <c r="H114" s="82"/>
    </row>
    <row r="115" spans="1:8" x14ac:dyDescent="0.25">
      <c r="A115" s="1" t="s">
        <v>4</v>
      </c>
      <c r="B115" s="2" t="s">
        <v>4</v>
      </c>
      <c r="C115" s="2" t="s">
        <v>4</v>
      </c>
      <c r="D115" s="80" t="s">
        <v>1180</v>
      </c>
      <c r="E115" s="361" t="s">
        <v>4</v>
      </c>
      <c r="F115" s="361"/>
      <c r="G115" s="81">
        <v>3.048</v>
      </c>
      <c r="H115" s="67" t="s">
        <v>4</v>
      </c>
    </row>
    <row r="116" spans="1:8" x14ac:dyDescent="0.25">
      <c r="A116" s="1" t="s">
        <v>284</v>
      </c>
      <c r="B116" s="2" t="s">
        <v>89</v>
      </c>
      <c r="C116" s="2" t="s">
        <v>285</v>
      </c>
      <c r="D116" s="259" t="s">
        <v>286</v>
      </c>
      <c r="E116" s="259"/>
      <c r="F116" s="2" t="s">
        <v>251</v>
      </c>
      <c r="G116" s="37">
        <v>4.8879999999999999</v>
      </c>
      <c r="H116" s="38">
        <v>0</v>
      </c>
    </row>
    <row r="117" spans="1:8" x14ac:dyDescent="0.25">
      <c r="A117" s="69"/>
      <c r="D117" s="80" t="s">
        <v>1179</v>
      </c>
      <c r="E117" s="361" t="s">
        <v>4</v>
      </c>
      <c r="F117" s="361"/>
      <c r="G117" s="81">
        <v>1.84</v>
      </c>
      <c r="H117" s="82"/>
    </row>
    <row r="118" spans="1:8" x14ac:dyDescent="0.25">
      <c r="A118" s="1" t="s">
        <v>4</v>
      </c>
      <c r="B118" s="2" t="s">
        <v>4</v>
      </c>
      <c r="C118" s="2" t="s">
        <v>4</v>
      </c>
      <c r="D118" s="80" t="s">
        <v>1180</v>
      </c>
      <c r="E118" s="361" t="s">
        <v>4</v>
      </c>
      <c r="F118" s="361"/>
      <c r="G118" s="81">
        <v>3.048</v>
      </c>
      <c r="H118" s="67" t="s">
        <v>4</v>
      </c>
    </row>
    <row r="119" spans="1:8" x14ac:dyDescent="0.25">
      <c r="A119" s="1" t="s">
        <v>287</v>
      </c>
      <c r="B119" s="2" t="s">
        <v>89</v>
      </c>
      <c r="C119" s="2" t="s">
        <v>288</v>
      </c>
      <c r="D119" s="259" t="s">
        <v>289</v>
      </c>
      <c r="E119" s="259"/>
      <c r="F119" s="2" t="s">
        <v>216</v>
      </c>
      <c r="G119" s="37">
        <v>0.29899999999999999</v>
      </c>
      <c r="H119" s="38">
        <v>0</v>
      </c>
    </row>
    <row r="120" spans="1:8" x14ac:dyDescent="0.25">
      <c r="A120" s="69"/>
      <c r="D120" s="80" t="s">
        <v>1181</v>
      </c>
      <c r="E120" s="361" t="s">
        <v>4</v>
      </c>
      <c r="F120" s="361"/>
      <c r="G120" s="81">
        <v>0.29899999999999999</v>
      </c>
      <c r="H120" s="82"/>
    </row>
    <row r="121" spans="1:8" x14ac:dyDescent="0.25">
      <c r="A121" s="1" t="s">
        <v>290</v>
      </c>
      <c r="B121" s="2" t="s">
        <v>89</v>
      </c>
      <c r="C121" s="2" t="s">
        <v>291</v>
      </c>
      <c r="D121" s="259" t="s">
        <v>292</v>
      </c>
      <c r="E121" s="259"/>
      <c r="F121" s="2" t="s">
        <v>251</v>
      </c>
      <c r="G121" s="37">
        <v>35.770000000000003</v>
      </c>
      <c r="H121" s="38">
        <v>0</v>
      </c>
    </row>
    <row r="122" spans="1:8" x14ac:dyDescent="0.25">
      <c r="A122" s="69"/>
      <c r="D122" s="80" t="s">
        <v>1182</v>
      </c>
      <c r="E122" s="361" t="s">
        <v>1183</v>
      </c>
      <c r="F122" s="361"/>
      <c r="G122" s="81">
        <v>35.770000000000003</v>
      </c>
      <c r="H122" s="82"/>
    </row>
    <row r="123" spans="1:8" x14ac:dyDescent="0.25">
      <c r="A123" s="1" t="s">
        <v>294</v>
      </c>
      <c r="B123" s="2" t="s">
        <v>89</v>
      </c>
      <c r="C123" s="2" t="s">
        <v>295</v>
      </c>
      <c r="D123" s="259" t="s">
        <v>296</v>
      </c>
      <c r="E123" s="259"/>
      <c r="F123" s="2" t="s">
        <v>266</v>
      </c>
      <c r="G123" s="37">
        <v>0.14376</v>
      </c>
      <c r="H123" s="38">
        <v>0</v>
      </c>
    </row>
    <row r="124" spans="1:8" x14ac:dyDescent="0.25">
      <c r="A124" s="69"/>
      <c r="D124" s="80" t="s">
        <v>1184</v>
      </c>
      <c r="E124" s="361" t="s">
        <v>4</v>
      </c>
      <c r="F124" s="361"/>
      <c r="G124" s="81">
        <v>5.9279999999999999E-2</v>
      </c>
      <c r="H124" s="82"/>
    </row>
    <row r="125" spans="1:8" x14ac:dyDescent="0.25">
      <c r="A125" s="1" t="s">
        <v>4</v>
      </c>
      <c r="B125" s="2" t="s">
        <v>4</v>
      </c>
      <c r="C125" s="2" t="s">
        <v>4</v>
      </c>
      <c r="D125" s="80" t="s">
        <v>1185</v>
      </c>
      <c r="E125" s="361" t="s">
        <v>4</v>
      </c>
      <c r="F125" s="361"/>
      <c r="G125" s="81">
        <v>3.8879999999999998E-2</v>
      </c>
      <c r="H125" s="67" t="s">
        <v>4</v>
      </c>
    </row>
    <row r="126" spans="1:8" x14ac:dyDescent="0.25">
      <c r="A126" s="1" t="s">
        <v>4</v>
      </c>
      <c r="B126" s="2" t="s">
        <v>4</v>
      </c>
      <c r="C126" s="2" t="s">
        <v>4</v>
      </c>
      <c r="D126" s="80" t="s">
        <v>1186</v>
      </c>
      <c r="E126" s="361" t="s">
        <v>1187</v>
      </c>
      <c r="F126" s="361"/>
      <c r="G126" s="81">
        <v>3.1199999999999999E-2</v>
      </c>
      <c r="H126" s="67" t="s">
        <v>4</v>
      </c>
    </row>
    <row r="127" spans="1:8" x14ac:dyDescent="0.25">
      <c r="A127" s="1" t="s">
        <v>4</v>
      </c>
      <c r="B127" s="2" t="s">
        <v>4</v>
      </c>
      <c r="C127" s="2" t="s">
        <v>4</v>
      </c>
      <c r="D127" s="80" t="s">
        <v>1188</v>
      </c>
      <c r="E127" s="361" t="s">
        <v>1189</v>
      </c>
      <c r="F127" s="361"/>
      <c r="G127" s="81">
        <v>1.44E-2</v>
      </c>
      <c r="H127" s="67" t="s">
        <v>4</v>
      </c>
    </row>
    <row r="128" spans="1:8" x14ac:dyDescent="0.25">
      <c r="A128" s="1" t="s">
        <v>299</v>
      </c>
      <c r="B128" s="2" t="s">
        <v>89</v>
      </c>
      <c r="C128" s="2" t="s">
        <v>300</v>
      </c>
      <c r="D128" s="259" t="s">
        <v>301</v>
      </c>
      <c r="E128" s="259"/>
      <c r="F128" s="2" t="s">
        <v>266</v>
      </c>
      <c r="G128" s="37">
        <v>6.4019999999999994E-2</v>
      </c>
      <c r="H128" s="38">
        <v>0</v>
      </c>
    </row>
    <row r="129" spans="1:8" x14ac:dyDescent="0.25">
      <c r="A129" s="69"/>
      <c r="D129" s="80" t="s">
        <v>1184</v>
      </c>
      <c r="E129" s="361" t="s">
        <v>4</v>
      </c>
      <c r="F129" s="361"/>
      <c r="G129" s="81">
        <v>5.9279999999999999E-2</v>
      </c>
      <c r="H129" s="82"/>
    </row>
    <row r="130" spans="1:8" x14ac:dyDescent="0.25">
      <c r="A130" s="1" t="s">
        <v>4</v>
      </c>
      <c r="B130" s="2" t="s">
        <v>4</v>
      </c>
      <c r="C130" s="2" t="s">
        <v>4</v>
      </c>
      <c r="D130" s="80" t="s">
        <v>1190</v>
      </c>
      <c r="E130" s="361" t="s">
        <v>4</v>
      </c>
      <c r="F130" s="361"/>
      <c r="G130" s="81">
        <v>4.7400000000000003E-3</v>
      </c>
      <c r="H130" s="67" t="s">
        <v>4</v>
      </c>
    </row>
    <row r="131" spans="1:8" x14ac:dyDescent="0.25">
      <c r="A131" s="1" t="s">
        <v>101</v>
      </c>
      <c r="B131" s="2" t="s">
        <v>89</v>
      </c>
      <c r="C131" s="2" t="s">
        <v>302</v>
      </c>
      <c r="D131" s="259" t="s">
        <v>303</v>
      </c>
      <c r="E131" s="259"/>
      <c r="F131" s="2" t="s">
        <v>266</v>
      </c>
      <c r="G131" s="37">
        <v>4.199E-2</v>
      </c>
      <c r="H131" s="38">
        <v>0</v>
      </c>
    </row>
    <row r="132" spans="1:8" x14ac:dyDescent="0.25">
      <c r="A132" s="69"/>
      <c r="D132" s="80" t="s">
        <v>1185</v>
      </c>
      <c r="E132" s="361" t="s">
        <v>4</v>
      </c>
      <c r="F132" s="361"/>
      <c r="G132" s="81">
        <v>3.8879999999999998E-2</v>
      </c>
      <c r="H132" s="82"/>
    </row>
    <row r="133" spans="1:8" x14ac:dyDescent="0.25">
      <c r="A133" s="1" t="s">
        <v>4</v>
      </c>
      <c r="B133" s="2" t="s">
        <v>4</v>
      </c>
      <c r="C133" s="2" t="s">
        <v>4</v>
      </c>
      <c r="D133" s="80" t="s">
        <v>1191</v>
      </c>
      <c r="E133" s="361" t="s">
        <v>4</v>
      </c>
      <c r="F133" s="361"/>
      <c r="G133" s="81">
        <v>3.1099999999999999E-3</v>
      </c>
      <c r="H133" s="67" t="s">
        <v>4</v>
      </c>
    </row>
    <row r="134" spans="1:8" x14ac:dyDescent="0.25">
      <c r="A134" s="1" t="s">
        <v>103</v>
      </c>
      <c r="B134" s="2" t="s">
        <v>89</v>
      </c>
      <c r="C134" s="2" t="s">
        <v>304</v>
      </c>
      <c r="D134" s="259" t="s">
        <v>305</v>
      </c>
      <c r="E134" s="259"/>
      <c r="F134" s="2" t="s">
        <v>266</v>
      </c>
      <c r="G134" s="37">
        <v>4.9250000000000002E-2</v>
      </c>
      <c r="H134" s="38">
        <v>0</v>
      </c>
    </row>
    <row r="135" spans="1:8" x14ac:dyDescent="0.25">
      <c r="A135" s="69"/>
      <c r="D135" s="80" t="s">
        <v>1186</v>
      </c>
      <c r="E135" s="361" t="s">
        <v>1187</v>
      </c>
      <c r="F135" s="361"/>
      <c r="G135" s="81">
        <v>3.1199999999999999E-2</v>
      </c>
      <c r="H135" s="82"/>
    </row>
    <row r="136" spans="1:8" x14ac:dyDescent="0.25">
      <c r="A136" s="1" t="s">
        <v>4</v>
      </c>
      <c r="B136" s="2" t="s">
        <v>4</v>
      </c>
      <c r="C136" s="2" t="s">
        <v>4</v>
      </c>
      <c r="D136" s="80" t="s">
        <v>1188</v>
      </c>
      <c r="E136" s="361" t="s">
        <v>1189</v>
      </c>
      <c r="F136" s="361"/>
      <c r="G136" s="81">
        <v>1.44E-2</v>
      </c>
      <c r="H136" s="67" t="s">
        <v>4</v>
      </c>
    </row>
    <row r="137" spans="1:8" x14ac:dyDescent="0.25">
      <c r="A137" s="1" t="s">
        <v>4</v>
      </c>
      <c r="B137" s="2" t="s">
        <v>4</v>
      </c>
      <c r="C137" s="2" t="s">
        <v>4</v>
      </c>
      <c r="D137" s="80" t="s">
        <v>1192</v>
      </c>
      <c r="E137" s="361" t="s">
        <v>4</v>
      </c>
      <c r="F137" s="361"/>
      <c r="G137" s="81">
        <v>3.65E-3</v>
      </c>
      <c r="H137" s="67" t="s">
        <v>4</v>
      </c>
    </row>
    <row r="138" spans="1:8" x14ac:dyDescent="0.25">
      <c r="A138" s="1" t="s">
        <v>306</v>
      </c>
      <c r="B138" s="2" t="s">
        <v>89</v>
      </c>
      <c r="C138" s="2" t="s">
        <v>307</v>
      </c>
      <c r="D138" s="259" t="s">
        <v>308</v>
      </c>
      <c r="E138" s="259"/>
      <c r="F138" s="2" t="s">
        <v>309</v>
      </c>
      <c r="G138" s="37">
        <v>7</v>
      </c>
      <c r="H138" s="38">
        <v>0</v>
      </c>
    </row>
    <row r="139" spans="1:8" x14ac:dyDescent="0.25">
      <c r="A139" s="69"/>
      <c r="D139" s="80" t="s">
        <v>237</v>
      </c>
      <c r="E139" s="361" t="s">
        <v>4</v>
      </c>
      <c r="F139" s="361"/>
      <c r="G139" s="81">
        <v>7</v>
      </c>
      <c r="H139" s="82"/>
    </row>
    <row r="140" spans="1:8" x14ac:dyDescent="0.25">
      <c r="A140" s="1" t="s">
        <v>310</v>
      </c>
      <c r="B140" s="2" t="s">
        <v>89</v>
      </c>
      <c r="C140" s="2" t="s">
        <v>311</v>
      </c>
      <c r="D140" s="259" t="s">
        <v>312</v>
      </c>
      <c r="E140" s="259"/>
      <c r="F140" s="2" t="s">
        <v>313</v>
      </c>
      <c r="G140" s="37">
        <v>1.5</v>
      </c>
      <c r="H140" s="38">
        <v>0</v>
      </c>
    </row>
    <row r="141" spans="1:8" x14ac:dyDescent="0.25">
      <c r="A141" s="69"/>
      <c r="D141" s="80" t="s">
        <v>1193</v>
      </c>
      <c r="E141" s="361" t="s">
        <v>4</v>
      </c>
      <c r="F141" s="361"/>
      <c r="G141" s="81">
        <v>1.5</v>
      </c>
      <c r="H141" s="82"/>
    </row>
    <row r="142" spans="1:8" x14ac:dyDescent="0.25">
      <c r="A142" s="1" t="s">
        <v>105</v>
      </c>
      <c r="B142" s="2" t="s">
        <v>89</v>
      </c>
      <c r="C142" s="2" t="s">
        <v>314</v>
      </c>
      <c r="D142" s="259" t="s">
        <v>315</v>
      </c>
      <c r="E142" s="259"/>
      <c r="F142" s="2" t="s">
        <v>251</v>
      </c>
      <c r="G142" s="37">
        <v>3.2</v>
      </c>
      <c r="H142" s="38">
        <v>0</v>
      </c>
    </row>
    <row r="143" spans="1:8" x14ac:dyDescent="0.25">
      <c r="A143" s="69"/>
      <c r="D143" s="80" t="s">
        <v>1194</v>
      </c>
      <c r="E143" s="361" t="s">
        <v>4</v>
      </c>
      <c r="F143" s="361"/>
      <c r="G143" s="81">
        <v>1.55</v>
      </c>
      <c r="H143" s="82"/>
    </row>
    <row r="144" spans="1:8" x14ac:dyDescent="0.25">
      <c r="A144" s="1" t="s">
        <v>4</v>
      </c>
      <c r="B144" s="2" t="s">
        <v>4</v>
      </c>
      <c r="C144" s="2" t="s">
        <v>4</v>
      </c>
      <c r="D144" s="80" t="s">
        <v>1195</v>
      </c>
      <c r="E144" s="361" t="s">
        <v>4</v>
      </c>
      <c r="F144" s="361"/>
      <c r="G144" s="81">
        <v>1.65</v>
      </c>
      <c r="H144" s="67" t="s">
        <v>4</v>
      </c>
    </row>
    <row r="145" spans="1:8" x14ac:dyDescent="0.25">
      <c r="A145" s="1" t="s">
        <v>316</v>
      </c>
      <c r="B145" s="2" t="s">
        <v>89</v>
      </c>
      <c r="C145" s="2" t="s">
        <v>317</v>
      </c>
      <c r="D145" s="259" t="s">
        <v>318</v>
      </c>
      <c r="E145" s="259"/>
      <c r="F145" s="2" t="s">
        <v>251</v>
      </c>
      <c r="G145" s="37">
        <v>1.1020000000000001</v>
      </c>
      <c r="H145" s="38">
        <v>0</v>
      </c>
    </row>
    <row r="146" spans="1:8" x14ac:dyDescent="0.25">
      <c r="A146" s="69"/>
      <c r="D146" s="80" t="s">
        <v>1196</v>
      </c>
      <c r="E146" s="361" t="s">
        <v>4</v>
      </c>
      <c r="F146" s="361"/>
      <c r="G146" s="81">
        <v>1.1020000000000001</v>
      </c>
      <c r="H146" s="82"/>
    </row>
    <row r="147" spans="1:8" x14ac:dyDescent="0.25">
      <c r="A147" s="1" t="s">
        <v>319</v>
      </c>
      <c r="B147" s="2" t="s">
        <v>89</v>
      </c>
      <c r="C147" s="2" t="s">
        <v>320</v>
      </c>
      <c r="D147" s="259" t="s">
        <v>321</v>
      </c>
      <c r="E147" s="259"/>
      <c r="F147" s="2" t="s">
        <v>251</v>
      </c>
      <c r="G147" s="37">
        <v>8.1150000000000002</v>
      </c>
      <c r="H147" s="38">
        <v>0</v>
      </c>
    </row>
    <row r="148" spans="1:8" x14ac:dyDescent="0.25">
      <c r="A148" s="69"/>
      <c r="D148" s="80" t="s">
        <v>1197</v>
      </c>
      <c r="E148" s="361" t="s">
        <v>4</v>
      </c>
      <c r="F148" s="361"/>
      <c r="G148" s="81">
        <v>8.1150000000000002</v>
      </c>
      <c r="H148" s="82"/>
    </row>
    <row r="149" spans="1:8" x14ac:dyDescent="0.25">
      <c r="A149" s="1" t="s">
        <v>107</v>
      </c>
      <c r="B149" s="2" t="s">
        <v>89</v>
      </c>
      <c r="C149" s="2" t="s">
        <v>322</v>
      </c>
      <c r="D149" s="259" t="s">
        <v>323</v>
      </c>
      <c r="E149" s="259"/>
      <c r="F149" s="2" t="s">
        <v>266</v>
      </c>
      <c r="G149" s="37">
        <v>0.12222</v>
      </c>
      <c r="H149" s="38">
        <v>0</v>
      </c>
    </row>
    <row r="150" spans="1:8" x14ac:dyDescent="0.25">
      <c r="A150" s="69"/>
      <c r="D150" s="80" t="s">
        <v>1198</v>
      </c>
      <c r="E150" s="361" t="s">
        <v>1199</v>
      </c>
      <c r="F150" s="361"/>
      <c r="G150" s="81">
        <v>8.9279999999999998E-2</v>
      </c>
      <c r="H150" s="82"/>
    </row>
    <row r="151" spans="1:8" x14ac:dyDescent="0.25">
      <c r="A151" s="1" t="s">
        <v>4</v>
      </c>
      <c r="B151" s="2" t="s">
        <v>4</v>
      </c>
      <c r="C151" s="2" t="s">
        <v>4</v>
      </c>
      <c r="D151" s="80" t="s">
        <v>1200</v>
      </c>
      <c r="E151" s="361" t="s">
        <v>1201</v>
      </c>
      <c r="F151" s="361"/>
      <c r="G151" s="81">
        <v>3.2939999999999997E-2</v>
      </c>
      <c r="H151" s="67" t="s">
        <v>4</v>
      </c>
    </row>
    <row r="152" spans="1:8" x14ac:dyDescent="0.25">
      <c r="A152" s="1" t="s">
        <v>324</v>
      </c>
      <c r="B152" s="2" t="s">
        <v>89</v>
      </c>
      <c r="C152" s="2" t="s">
        <v>325</v>
      </c>
      <c r="D152" s="259" t="s">
        <v>326</v>
      </c>
      <c r="E152" s="259"/>
      <c r="F152" s="2" t="s">
        <v>313</v>
      </c>
      <c r="G152" s="37">
        <v>5.41</v>
      </c>
      <c r="H152" s="38">
        <v>0</v>
      </c>
    </row>
    <row r="153" spans="1:8" x14ac:dyDescent="0.25">
      <c r="A153" s="69"/>
      <c r="D153" s="80" t="s">
        <v>1202</v>
      </c>
      <c r="E153" s="361" t="s">
        <v>4</v>
      </c>
      <c r="F153" s="361"/>
      <c r="G153" s="81">
        <v>5.41</v>
      </c>
      <c r="H153" s="82"/>
    </row>
    <row r="154" spans="1:8" x14ac:dyDescent="0.25">
      <c r="A154" s="1" t="s">
        <v>328</v>
      </c>
      <c r="B154" s="2" t="s">
        <v>89</v>
      </c>
      <c r="C154" s="2" t="s">
        <v>329</v>
      </c>
      <c r="D154" s="259" t="s">
        <v>330</v>
      </c>
      <c r="E154" s="259"/>
      <c r="F154" s="2" t="s">
        <v>251</v>
      </c>
      <c r="G154" s="37">
        <v>13.1897</v>
      </c>
      <c r="H154" s="38">
        <v>0</v>
      </c>
    </row>
    <row r="155" spans="1:8" x14ac:dyDescent="0.25">
      <c r="A155" s="69"/>
      <c r="D155" s="80" t="s">
        <v>1203</v>
      </c>
      <c r="E155" s="361" t="s">
        <v>4</v>
      </c>
      <c r="F155" s="361"/>
      <c r="G155" s="81">
        <v>11.1897</v>
      </c>
      <c r="H155" s="82"/>
    </row>
    <row r="156" spans="1:8" x14ac:dyDescent="0.25">
      <c r="A156" s="1" t="s">
        <v>4</v>
      </c>
      <c r="B156" s="2" t="s">
        <v>4</v>
      </c>
      <c r="C156" s="2" t="s">
        <v>4</v>
      </c>
      <c r="D156" s="80" t="s">
        <v>1204</v>
      </c>
      <c r="E156" s="361" t="s">
        <v>4</v>
      </c>
      <c r="F156" s="361"/>
      <c r="G156" s="81">
        <v>2</v>
      </c>
      <c r="H156" s="67" t="s">
        <v>4</v>
      </c>
    </row>
    <row r="157" spans="1:8" x14ac:dyDescent="0.25">
      <c r="A157" s="1" t="s">
        <v>332</v>
      </c>
      <c r="B157" s="2" t="s">
        <v>89</v>
      </c>
      <c r="C157" s="2" t="s">
        <v>333</v>
      </c>
      <c r="D157" s="259" t="s">
        <v>334</v>
      </c>
      <c r="E157" s="259"/>
      <c r="F157" s="2" t="s">
        <v>251</v>
      </c>
      <c r="G157" s="37">
        <v>16.095500000000001</v>
      </c>
      <c r="H157" s="38">
        <v>0</v>
      </c>
    </row>
    <row r="158" spans="1:8" x14ac:dyDescent="0.25">
      <c r="A158" s="69"/>
      <c r="D158" s="80" t="s">
        <v>1205</v>
      </c>
      <c r="E158" s="361" t="s">
        <v>4</v>
      </c>
      <c r="F158" s="361"/>
      <c r="G158" s="81">
        <v>14.095499999999999</v>
      </c>
      <c r="H158" s="82"/>
    </row>
    <row r="159" spans="1:8" x14ac:dyDescent="0.25">
      <c r="A159" s="1" t="s">
        <v>4</v>
      </c>
      <c r="B159" s="2" t="s">
        <v>4</v>
      </c>
      <c r="C159" s="2" t="s">
        <v>4</v>
      </c>
      <c r="D159" s="80" t="s">
        <v>1204</v>
      </c>
      <c r="E159" s="361" t="s">
        <v>4</v>
      </c>
      <c r="F159" s="361"/>
      <c r="G159" s="81">
        <v>2</v>
      </c>
      <c r="H159" s="67" t="s">
        <v>4</v>
      </c>
    </row>
    <row r="160" spans="1:8" x14ac:dyDescent="0.25">
      <c r="A160" s="1" t="s">
        <v>335</v>
      </c>
      <c r="B160" s="2" t="s">
        <v>89</v>
      </c>
      <c r="C160" s="2" t="s">
        <v>336</v>
      </c>
      <c r="D160" s="259" t="s">
        <v>337</v>
      </c>
      <c r="E160" s="259"/>
      <c r="F160" s="2" t="s">
        <v>251</v>
      </c>
      <c r="G160" s="37">
        <v>6.48</v>
      </c>
      <c r="H160" s="38">
        <v>0</v>
      </c>
    </row>
    <row r="161" spans="1:8" x14ac:dyDescent="0.25">
      <c r="A161" s="69"/>
      <c r="D161" s="80" t="s">
        <v>1206</v>
      </c>
      <c r="E161" s="361" t="s">
        <v>4</v>
      </c>
      <c r="F161" s="361"/>
      <c r="G161" s="81">
        <v>6.48</v>
      </c>
      <c r="H161" s="82"/>
    </row>
    <row r="162" spans="1:8" x14ac:dyDescent="0.25">
      <c r="A162" s="1" t="s">
        <v>338</v>
      </c>
      <c r="B162" s="2" t="s">
        <v>89</v>
      </c>
      <c r="C162" s="2" t="s">
        <v>339</v>
      </c>
      <c r="D162" s="259" t="s">
        <v>340</v>
      </c>
      <c r="E162" s="259"/>
      <c r="F162" s="2" t="s">
        <v>251</v>
      </c>
      <c r="G162" s="37">
        <v>1.0834999999999999</v>
      </c>
      <c r="H162" s="38">
        <v>0</v>
      </c>
    </row>
    <row r="163" spans="1:8" x14ac:dyDescent="0.25">
      <c r="A163" s="69"/>
      <c r="D163" s="80" t="s">
        <v>1207</v>
      </c>
      <c r="E163" s="361" t="s">
        <v>4</v>
      </c>
      <c r="F163" s="361"/>
      <c r="G163" s="81">
        <v>1.0834999999999999</v>
      </c>
      <c r="H163" s="82"/>
    </row>
    <row r="164" spans="1:8" x14ac:dyDescent="0.25">
      <c r="A164" s="1" t="s">
        <v>341</v>
      </c>
      <c r="B164" s="2" t="s">
        <v>89</v>
      </c>
      <c r="C164" s="2" t="s">
        <v>342</v>
      </c>
      <c r="D164" s="259" t="s">
        <v>343</v>
      </c>
      <c r="E164" s="259"/>
      <c r="F164" s="2" t="s">
        <v>251</v>
      </c>
      <c r="G164" s="37">
        <v>104.57</v>
      </c>
      <c r="H164" s="38">
        <v>0</v>
      </c>
    </row>
    <row r="165" spans="1:8" x14ac:dyDescent="0.25">
      <c r="A165" s="69"/>
      <c r="D165" s="80" t="s">
        <v>1208</v>
      </c>
      <c r="E165" s="361" t="s">
        <v>1209</v>
      </c>
      <c r="F165" s="361"/>
      <c r="G165" s="81">
        <v>49.06</v>
      </c>
      <c r="H165" s="82"/>
    </row>
    <row r="166" spans="1:8" x14ac:dyDescent="0.25">
      <c r="A166" s="1" t="s">
        <v>4</v>
      </c>
      <c r="B166" s="2" t="s">
        <v>4</v>
      </c>
      <c r="C166" s="2" t="s">
        <v>4</v>
      </c>
      <c r="D166" s="80" t="s">
        <v>1210</v>
      </c>
      <c r="E166" s="361" t="s">
        <v>1211</v>
      </c>
      <c r="F166" s="361"/>
      <c r="G166" s="81">
        <v>55.51</v>
      </c>
      <c r="H166" s="67" t="s">
        <v>4</v>
      </c>
    </row>
    <row r="167" spans="1:8" x14ac:dyDescent="0.25">
      <c r="A167" s="1" t="s">
        <v>109</v>
      </c>
      <c r="B167" s="2" t="s">
        <v>89</v>
      </c>
      <c r="C167" s="2" t="s">
        <v>346</v>
      </c>
      <c r="D167" s="259" t="s">
        <v>347</v>
      </c>
      <c r="E167" s="259"/>
      <c r="F167" s="2" t="s">
        <v>216</v>
      </c>
      <c r="G167" s="37">
        <v>0.497</v>
      </c>
      <c r="H167" s="38">
        <v>0</v>
      </c>
    </row>
    <row r="168" spans="1:8" x14ac:dyDescent="0.25">
      <c r="A168" s="69"/>
      <c r="D168" s="80" t="s">
        <v>1212</v>
      </c>
      <c r="E168" s="361" t="s">
        <v>4</v>
      </c>
      <c r="F168" s="361"/>
      <c r="G168" s="81">
        <v>0.29899999999999999</v>
      </c>
      <c r="H168" s="82"/>
    </row>
    <row r="169" spans="1:8" x14ac:dyDescent="0.25">
      <c r="A169" s="1" t="s">
        <v>4</v>
      </c>
      <c r="B169" s="2" t="s">
        <v>4</v>
      </c>
      <c r="C169" s="2" t="s">
        <v>4</v>
      </c>
      <c r="D169" s="80" t="s">
        <v>1213</v>
      </c>
      <c r="E169" s="361" t="s">
        <v>4</v>
      </c>
      <c r="F169" s="361"/>
      <c r="G169" s="81">
        <v>0.19800000000000001</v>
      </c>
      <c r="H169" s="67" t="s">
        <v>4</v>
      </c>
    </row>
    <row r="170" spans="1:8" x14ac:dyDescent="0.25">
      <c r="A170" s="1" t="s">
        <v>349</v>
      </c>
      <c r="B170" s="2" t="s">
        <v>89</v>
      </c>
      <c r="C170" s="2" t="s">
        <v>350</v>
      </c>
      <c r="D170" s="259" t="s">
        <v>351</v>
      </c>
      <c r="E170" s="259"/>
      <c r="F170" s="2" t="s">
        <v>251</v>
      </c>
      <c r="G170" s="37">
        <v>1.518</v>
      </c>
      <c r="H170" s="38">
        <v>0</v>
      </c>
    </row>
    <row r="171" spans="1:8" x14ac:dyDescent="0.25">
      <c r="A171" s="69"/>
      <c r="D171" s="80" t="s">
        <v>1214</v>
      </c>
      <c r="E171" s="361" t="s">
        <v>4</v>
      </c>
      <c r="F171" s="361"/>
      <c r="G171" s="81">
        <v>1.518</v>
      </c>
      <c r="H171" s="82"/>
    </row>
    <row r="172" spans="1:8" x14ac:dyDescent="0.25">
      <c r="A172" s="1" t="s">
        <v>111</v>
      </c>
      <c r="B172" s="2" t="s">
        <v>89</v>
      </c>
      <c r="C172" s="2" t="s">
        <v>352</v>
      </c>
      <c r="D172" s="259" t="s">
        <v>353</v>
      </c>
      <c r="E172" s="259"/>
      <c r="F172" s="2" t="s">
        <v>251</v>
      </c>
      <c r="G172" s="37">
        <v>1.518</v>
      </c>
      <c r="H172" s="38">
        <v>0</v>
      </c>
    </row>
    <row r="173" spans="1:8" x14ac:dyDescent="0.25">
      <c r="A173" s="69"/>
      <c r="D173" s="80" t="s">
        <v>1214</v>
      </c>
      <c r="E173" s="361" t="s">
        <v>4</v>
      </c>
      <c r="F173" s="361"/>
      <c r="G173" s="81">
        <v>1.518</v>
      </c>
      <c r="H173" s="82"/>
    </row>
    <row r="174" spans="1:8" x14ac:dyDescent="0.25">
      <c r="A174" s="1" t="s">
        <v>354</v>
      </c>
      <c r="B174" s="2" t="s">
        <v>89</v>
      </c>
      <c r="C174" s="2" t="s">
        <v>355</v>
      </c>
      <c r="D174" s="259" t="s">
        <v>356</v>
      </c>
      <c r="E174" s="259"/>
      <c r="F174" s="2" t="s">
        <v>266</v>
      </c>
      <c r="G174" s="37">
        <v>1.6459999999999999E-2</v>
      </c>
      <c r="H174" s="38">
        <v>0</v>
      </c>
    </row>
    <row r="175" spans="1:8" x14ac:dyDescent="0.25">
      <c r="A175" s="69"/>
      <c r="D175" s="80" t="s">
        <v>1215</v>
      </c>
      <c r="E175" s="361" t="s">
        <v>4</v>
      </c>
      <c r="F175" s="361"/>
      <c r="G175" s="81">
        <v>1.6459999999999999E-2</v>
      </c>
      <c r="H175" s="82"/>
    </row>
    <row r="176" spans="1:8" x14ac:dyDescent="0.25">
      <c r="A176" s="1" t="s">
        <v>358</v>
      </c>
      <c r="B176" s="2" t="s">
        <v>89</v>
      </c>
      <c r="C176" s="2" t="s">
        <v>359</v>
      </c>
      <c r="D176" s="259" t="s">
        <v>360</v>
      </c>
      <c r="E176" s="259"/>
      <c r="F176" s="2" t="s">
        <v>251</v>
      </c>
      <c r="G176" s="37">
        <v>40.630000000000003</v>
      </c>
      <c r="H176" s="38">
        <v>0</v>
      </c>
    </row>
    <row r="177" spans="1:8" x14ac:dyDescent="0.25">
      <c r="A177" s="69"/>
      <c r="D177" s="80" t="s">
        <v>1216</v>
      </c>
      <c r="E177" s="361" t="s">
        <v>1217</v>
      </c>
      <c r="F177" s="361"/>
      <c r="G177" s="81">
        <v>4.8600000000000003</v>
      </c>
      <c r="H177" s="82"/>
    </row>
    <row r="178" spans="1:8" x14ac:dyDescent="0.25">
      <c r="A178" s="1" t="s">
        <v>4</v>
      </c>
      <c r="B178" s="2" t="s">
        <v>4</v>
      </c>
      <c r="C178" s="2" t="s">
        <v>4</v>
      </c>
      <c r="D178" s="80" t="s">
        <v>1182</v>
      </c>
      <c r="E178" s="361" t="s">
        <v>1183</v>
      </c>
      <c r="F178" s="361"/>
      <c r="G178" s="81">
        <v>35.770000000000003</v>
      </c>
      <c r="H178" s="67" t="s">
        <v>4</v>
      </c>
    </row>
    <row r="179" spans="1:8" x14ac:dyDescent="0.25">
      <c r="A179" s="1" t="s">
        <v>363</v>
      </c>
      <c r="B179" s="2" t="s">
        <v>89</v>
      </c>
      <c r="C179" s="2" t="s">
        <v>364</v>
      </c>
      <c r="D179" s="259" t="s">
        <v>365</v>
      </c>
      <c r="E179" s="259"/>
      <c r="F179" s="2" t="s">
        <v>251</v>
      </c>
      <c r="G179" s="37">
        <v>40.630000000000003</v>
      </c>
      <c r="H179" s="38">
        <v>0</v>
      </c>
    </row>
    <row r="180" spans="1:8" x14ac:dyDescent="0.25">
      <c r="A180" s="69"/>
      <c r="D180" s="80" t="s">
        <v>1216</v>
      </c>
      <c r="E180" s="361" t="s">
        <v>1217</v>
      </c>
      <c r="F180" s="361"/>
      <c r="G180" s="81">
        <v>4.8600000000000003</v>
      </c>
      <c r="H180" s="82"/>
    </row>
    <row r="181" spans="1:8" x14ac:dyDescent="0.25">
      <c r="A181" s="1" t="s">
        <v>4</v>
      </c>
      <c r="B181" s="2" t="s">
        <v>4</v>
      </c>
      <c r="C181" s="2" t="s">
        <v>4</v>
      </c>
      <c r="D181" s="80" t="s">
        <v>1182</v>
      </c>
      <c r="E181" s="361" t="s">
        <v>1183</v>
      </c>
      <c r="F181" s="361"/>
      <c r="G181" s="81">
        <v>35.770000000000003</v>
      </c>
      <c r="H181" s="67" t="s">
        <v>4</v>
      </c>
    </row>
    <row r="182" spans="1:8" x14ac:dyDescent="0.25">
      <c r="A182" s="1" t="s">
        <v>366</v>
      </c>
      <c r="B182" s="2" t="s">
        <v>89</v>
      </c>
      <c r="C182" s="2" t="s">
        <v>367</v>
      </c>
      <c r="D182" s="259" t="s">
        <v>368</v>
      </c>
      <c r="E182" s="259"/>
      <c r="F182" s="2" t="s">
        <v>251</v>
      </c>
      <c r="G182" s="37">
        <v>4.8600000000000003</v>
      </c>
      <c r="H182" s="38">
        <v>0</v>
      </c>
    </row>
    <row r="183" spans="1:8" x14ac:dyDescent="0.25">
      <c r="A183" s="69"/>
      <c r="D183" s="80" t="s">
        <v>1216</v>
      </c>
      <c r="E183" s="361" t="s">
        <v>1217</v>
      </c>
      <c r="F183" s="361"/>
      <c r="G183" s="81">
        <v>4.8600000000000003</v>
      </c>
      <c r="H183" s="82"/>
    </row>
    <row r="184" spans="1:8" x14ac:dyDescent="0.25">
      <c r="A184" s="1" t="s">
        <v>369</v>
      </c>
      <c r="B184" s="2" t="s">
        <v>89</v>
      </c>
      <c r="C184" s="2" t="s">
        <v>370</v>
      </c>
      <c r="D184" s="259" t="s">
        <v>371</v>
      </c>
      <c r="E184" s="259"/>
      <c r="F184" s="2" t="s">
        <v>251</v>
      </c>
      <c r="G184" s="37">
        <v>35.770000000000003</v>
      </c>
      <c r="H184" s="38">
        <v>0</v>
      </c>
    </row>
    <row r="185" spans="1:8" x14ac:dyDescent="0.25">
      <c r="A185" s="69"/>
      <c r="D185" s="80" t="s">
        <v>1182</v>
      </c>
      <c r="E185" s="361" t="s">
        <v>1183</v>
      </c>
      <c r="F185" s="361"/>
      <c r="G185" s="81">
        <v>35.770000000000003</v>
      </c>
      <c r="H185" s="82"/>
    </row>
    <row r="186" spans="1:8" x14ac:dyDescent="0.25">
      <c r="A186" s="1" t="s">
        <v>372</v>
      </c>
      <c r="B186" s="2" t="s">
        <v>89</v>
      </c>
      <c r="C186" s="2" t="s">
        <v>373</v>
      </c>
      <c r="D186" s="259" t="s">
        <v>374</v>
      </c>
      <c r="E186" s="259"/>
      <c r="F186" s="2" t="s">
        <v>251</v>
      </c>
      <c r="G186" s="37">
        <v>35.835999999999999</v>
      </c>
      <c r="H186" s="38">
        <v>0</v>
      </c>
    </row>
    <row r="187" spans="1:8" x14ac:dyDescent="0.25">
      <c r="A187" s="69"/>
      <c r="D187" s="80" t="s">
        <v>1182</v>
      </c>
      <c r="E187" s="361" t="s">
        <v>1183</v>
      </c>
      <c r="F187" s="361"/>
      <c r="G187" s="81">
        <v>35.770000000000003</v>
      </c>
      <c r="H187" s="82"/>
    </row>
    <row r="188" spans="1:8" x14ac:dyDescent="0.25">
      <c r="A188" s="1" t="s">
        <v>4</v>
      </c>
      <c r="B188" s="2" t="s">
        <v>4</v>
      </c>
      <c r="C188" s="2" t="s">
        <v>4</v>
      </c>
      <c r="D188" s="80" t="s">
        <v>1218</v>
      </c>
      <c r="E188" s="361" t="s">
        <v>1219</v>
      </c>
      <c r="F188" s="361"/>
      <c r="G188" s="81">
        <v>6.6000000000000003E-2</v>
      </c>
      <c r="H188" s="67" t="s">
        <v>4</v>
      </c>
    </row>
    <row r="189" spans="1:8" x14ac:dyDescent="0.25">
      <c r="A189" s="1" t="s">
        <v>375</v>
      </c>
      <c r="B189" s="2" t="s">
        <v>89</v>
      </c>
      <c r="C189" s="2" t="s">
        <v>376</v>
      </c>
      <c r="D189" s="259" t="s">
        <v>377</v>
      </c>
      <c r="E189" s="259"/>
      <c r="F189" s="2" t="s">
        <v>251</v>
      </c>
      <c r="G189" s="37">
        <v>4.8600000000000003</v>
      </c>
      <c r="H189" s="38">
        <v>0</v>
      </c>
    </row>
    <row r="190" spans="1:8" x14ac:dyDescent="0.25">
      <c r="A190" s="69"/>
      <c r="D190" s="80" t="s">
        <v>1216</v>
      </c>
      <c r="E190" s="361" t="s">
        <v>1217</v>
      </c>
      <c r="F190" s="361"/>
      <c r="G190" s="81">
        <v>4.8600000000000003</v>
      </c>
      <c r="H190" s="82"/>
    </row>
    <row r="191" spans="1:8" x14ac:dyDescent="0.25">
      <c r="A191" s="1" t="s">
        <v>379</v>
      </c>
      <c r="B191" s="2" t="s">
        <v>89</v>
      </c>
      <c r="C191" s="2" t="s">
        <v>380</v>
      </c>
      <c r="D191" s="259" t="s">
        <v>381</v>
      </c>
      <c r="E191" s="259"/>
      <c r="F191" s="2" t="s">
        <v>251</v>
      </c>
      <c r="G191" s="37">
        <v>5.5890000000000004</v>
      </c>
      <c r="H191" s="38">
        <v>0</v>
      </c>
    </row>
    <row r="192" spans="1:8" x14ac:dyDescent="0.25">
      <c r="A192" s="69"/>
      <c r="D192" s="80" t="s">
        <v>1216</v>
      </c>
      <c r="E192" s="361" t="s">
        <v>1217</v>
      </c>
      <c r="F192" s="361"/>
      <c r="G192" s="81">
        <v>4.8600000000000003</v>
      </c>
      <c r="H192" s="82"/>
    </row>
    <row r="193" spans="1:8" x14ac:dyDescent="0.25">
      <c r="A193" s="1" t="s">
        <v>4</v>
      </c>
      <c r="B193" s="2" t="s">
        <v>4</v>
      </c>
      <c r="C193" s="2" t="s">
        <v>4</v>
      </c>
      <c r="D193" s="80" t="s">
        <v>1220</v>
      </c>
      <c r="E193" s="361" t="s">
        <v>4</v>
      </c>
      <c r="F193" s="361"/>
      <c r="G193" s="81">
        <v>0.72899999999999998</v>
      </c>
      <c r="H193" s="67" t="s">
        <v>4</v>
      </c>
    </row>
    <row r="194" spans="1:8" x14ac:dyDescent="0.25">
      <c r="A194" s="1" t="s">
        <v>382</v>
      </c>
      <c r="B194" s="2" t="s">
        <v>89</v>
      </c>
      <c r="C194" s="2" t="s">
        <v>383</v>
      </c>
      <c r="D194" s="259" t="s">
        <v>384</v>
      </c>
      <c r="E194" s="259"/>
      <c r="F194" s="2" t="s">
        <v>251</v>
      </c>
      <c r="G194" s="37">
        <v>4.8600000000000003</v>
      </c>
      <c r="H194" s="38">
        <v>0</v>
      </c>
    </row>
    <row r="195" spans="1:8" x14ac:dyDescent="0.25">
      <c r="A195" s="69"/>
      <c r="D195" s="80" t="s">
        <v>1216</v>
      </c>
      <c r="E195" s="361" t="s">
        <v>1217</v>
      </c>
      <c r="F195" s="361"/>
      <c r="G195" s="81">
        <v>4.8600000000000003</v>
      </c>
      <c r="H195" s="82"/>
    </row>
    <row r="196" spans="1:8" x14ac:dyDescent="0.25">
      <c r="A196" s="1" t="s">
        <v>385</v>
      </c>
      <c r="B196" s="2" t="s">
        <v>89</v>
      </c>
      <c r="C196" s="2" t="s">
        <v>386</v>
      </c>
      <c r="D196" s="259" t="s">
        <v>387</v>
      </c>
      <c r="E196" s="259"/>
      <c r="F196" s="2" t="s">
        <v>313</v>
      </c>
      <c r="G196" s="37">
        <v>6.3</v>
      </c>
      <c r="H196" s="38">
        <v>0</v>
      </c>
    </row>
    <row r="197" spans="1:8" x14ac:dyDescent="0.25">
      <c r="A197" s="69"/>
      <c r="D197" s="80" t="s">
        <v>1221</v>
      </c>
      <c r="E197" s="361" t="s">
        <v>1217</v>
      </c>
      <c r="F197" s="361"/>
      <c r="G197" s="81">
        <v>6.3</v>
      </c>
      <c r="H197" s="82"/>
    </row>
    <row r="198" spans="1:8" x14ac:dyDescent="0.25">
      <c r="A198" s="1" t="s">
        <v>388</v>
      </c>
      <c r="B198" s="2" t="s">
        <v>89</v>
      </c>
      <c r="C198" s="2" t="s">
        <v>389</v>
      </c>
      <c r="D198" s="259" t="s">
        <v>390</v>
      </c>
      <c r="E198" s="259"/>
      <c r="F198" s="2" t="s">
        <v>251</v>
      </c>
      <c r="G198" s="37">
        <v>35.770000000000003</v>
      </c>
      <c r="H198" s="38">
        <v>0</v>
      </c>
    </row>
    <row r="199" spans="1:8" x14ac:dyDescent="0.25">
      <c r="A199" s="69"/>
      <c r="D199" s="80" t="s">
        <v>1182</v>
      </c>
      <c r="E199" s="361" t="s">
        <v>1183</v>
      </c>
      <c r="F199" s="361"/>
      <c r="G199" s="81">
        <v>35.770000000000003</v>
      </c>
      <c r="H199" s="82"/>
    </row>
    <row r="200" spans="1:8" x14ac:dyDescent="0.25">
      <c r="A200" s="1" t="s">
        <v>391</v>
      </c>
      <c r="B200" s="2" t="s">
        <v>89</v>
      </c>
      <c r="C200" s="2" t="s">
        <v>392</v>
      </c>
      <c r="D200" s="259" t="s">
        <v>393</v>
      </c>
      <c r="E200" s="259"/>
      <c r="F200" s="2" t="s">
        <v>309</v>
      </c>
      <c r="G200" s="37">
        <v>180</v>
      </c>
      <c r="H200" s="38">
        <v>0</v>
      </c>
    </row>
    <row r="201" spans="1:8" x14ac:dyDescent="0.25">
      <c r="A201" s="69"/>
      <c r="D201" s="80" t="s">
        <v>1222</v>
      </c>
      <c r="E201" s="361" t="s">
        <v>1183</v>
      </c>
      <c r="F201" s="361"/>
      <c r="G201" s="81">
        <v>149.04167000000001</v>
      </c>
      <c r="H201" s="82"/>
    </row>
    <row r="202" spans="1:8" x14ac:dyDescent="0.25">
      <c r="A202" s="1" t="s">
        <v>4</v>
      </c>
      <c r="B202" s="2" t="s">
        <v>4</v>
      </c>
      <c r="C202" s="2" t="s">
        <v>4</v>
      </c>
      <c r="D202" s="80" t="s">
        <v>1223</v>
      </c>
      <c r="E202" s="361" t="s">
        <v>1224</v>
      </c>
      <c r="F202" s="361"/>
      <c r="G202" s="81">
        <v>0.95833000000000002</v>
      </c>
      <c r="H202" s="67" t="s">
        <v>4</v>
      </c>
    </row>
    <row r="203" spans="1:8" x14ac:dyDescent="0.25">
      <c r="A203" s="1" t="s">
        <v>4</v>
      </c>
      <c r="B203" s="2" t="s">
        <v>4</v>
      </c>
      <c r="C203" s="2" t="s">
        <v>4</v>
      </c>
      <c r="D203" s="80" t="s">
        <v>1225</v>
      </c>
      <c r="E203" s="361" t="s">
        <v>4</v>
      </c>
      <c r="F203" s="361"/>
      <c r="G203" s="81">
        <v>30</v>
      </c>
      <c r="H203" s="67" t="s">
        <v>4</v>
      </c>
    </row>
    <row r="204" spans="1:8" x14ac:dyDescent="0.25">
      <c r="A204" s="1" t="s">
        <v>113</v>
      </c>
      <c r="B204" s="2" t="s">
        <v>89</v>
      </c>
      <c r="C204" s="2" t="s">
        <v>394</v>
      </c>
      <c r="D204" s="259" t="s">
        <v>395</v>
      </c>
      <c r="E204" s="259"/>
      <c r="F204" s="2" t="s">
        <v>313</v>
      </c>
      <c r="G204" s="37">
        <v>16.100000000000001</v>
      </c>
      <c r="H204" s="38">
        <v>0</v>
      </c>
    </row>
    <row r="205" spans="1:8" x14ac:dyDescent="0.25">
      <c r="A205" s="69"/>
      <c r="D205" s="80" t="s">
        <v>1226</v>
      </c>
      <c r="E205" s="361" t="s">
        <v>4</v>
      </c>
      <c r="F205" s="361"/>
      <c r="G205" s="81">
        <v>16.100000000000001</v>
      </c>
      <c r="H205" s="82"/>
    </row>
    <row r="206" spans="1:8" x14ac:dyDescent="0.25">
      <c r="A206" s="1" t="s">
        <v>396</v>
      </c>
      <c r="B206" s="2" t="s">
        <v>89</v>
      </c>
      <c r="C206" s="2" t="s">
        <v>397</v>
      </c>
      <c r="D206" s="259" t="s">
        <v>398</v>
      </c>
      <c r="E206" s="259"/>
      <c r="F206" s="2" t="s">
        <v>251</v>
      </c>
      <c r="G206" s="37">
        <v>8.0500000000000007</v>
      </c>
      <c r="H206" s="38">
        <v>0</v>
      </c>
    </row>
    <row r="207" spans="1:8" x14ac:dyDescent="0.25">
      <c r="A207" s="69"/>
      <c r="D207" s="80" t="s">
        <v>1227</v>
      </c>
      <c r="E207" s="361" t="s">
        <v>4</v>
      </c>
      <c r="F207" s="361"/>
      <c r="G207" s="81">
        <v>8.0500000000000007</v>
      </c>
      <c r="H207" s="82"/>
    </row>
    <row r="208" spans="1:8" x14ac:dyDescent="0.25">
      <c r="A208" s="1" t="s">
        <v>399</v>
      </c>
      <c r="B208" s="2" t="s">
        <v>89</v>
      </c>
      <c r="C208" s="2" t="s">
        <v>400</v>
      </c>
      <c r="D208" s="259" t="s">
        <v>401</v>
      </c>
      <c r="E208" s="259"/>
      <c r="F208" s="2" t="s">
        <v>251</v>
      </c>
      <c r="G208" s="37">
        <v>18.8</v>
      </c>
      <c r="H208" s="38">
        <v>0</v>
      </c>
    </row>
    <row r="209" spans="1:8" x14ac:dyDescent="0.25">
      <c r="A209" s="69"/>
      <c r="D209" s="80" t="s">
        <v>1228</v>
      </c>
      <c r="E209" s="361" t="s">
        <v>1229</v>
      </c>
      <c r="F209" s="361"/>
      <c r="G209" s="81">
        <v>18.8</v>
      </c>
      <c r="H209" s="82"/>
    </row>
    <row r="210" spans="1:8" x14ac:dyDescent="0.25">
      <c r="A210" s="1" t="s">
        <v>115</v>
      </c>
      <c r="B210" s="2" t="s">
        <v>89</v>
      </c>
      <c r="C210" s="2" t="s">
        <v>404</v>
      </c>
      <c r="D210" s="259" t="s">
        <v>405</v>
      </c>
      <c r="E210" s="259"/>
      <c r="F210" s="2" t="s">
        <v>251</v>
      </c>
      <c r="G210" s="37">
        <v>18.8</v>
      </c>
      <c r="H210" s="38">
        <v>0</v>
      </c>
    </row>
    <row r="211" spans="1:8" x14ac:dyDescent="0.25">
      <c r="A211" s="69"/>
      <c r="D211" s="80" t="s">
        <v>1228</v>
      </c>
      <c r="E211" s="361" t="s">
        <v>1229</v>
      </c>
      <c r="F211" s="361"/>
      <c r="G211" s="81">
        <v>18.8</v>
      </c>
      <c r="H211" s="82"/>
    </row>
    <row r="212" spans="1:8" x14ac:dyDescent="0.25">
      <c r="A212" s="1" t="s">
        <v>406</v>
      </c>
      <c r="B212" s="2" t="s">
        <v>89</v>
      </c>
      <c r="C212" s="2" t="s">
        <v>407</v>
      </c>
      <c r="D212" s="259" t="s">
        <v>408</v>
      </c>
      <c r="E212" s="259"/>
      <c r="F212" s="2" t="s">
        <v>313</v>
      </c>
      <c r="G212" s="37">
        <v>145.91</v>
      </c>
      <c r="H212" s="38">
        <v>0</v>
      </c>
    </row>
    <row r="213" spans="1:8" x14ac:dyDescent="0.25">
      <c r="A213" s="69"/>
      <c r="D213" s="80" t="s">
        <v>1230</v>
      </c>
      <c r="E213" s="361" t="s">
        <v>4</v>
      </c>
      <c r="F213" s="361"/>
      <c r="G213" s="81">
        <v>44.78</v>
      </c>
      <c r="H213" s="82"/>
    </row>
    <row r="214" spans="1:8" x14ac:dyDescent="0.25">
      <c r="A214" s="1" t="s">
        <v>4</v>
      </c>
      <c r="B214" s="2" t="s">
        <v>4</v>
      </c>
      <c r="C214" s="2" t="s">
        <v>4</v>
      </c>
      <c r="D214" s="80" t="s">
        <v>1231</v>
      </c>
      <c r="E214" s="361" t="s">
        <v>4</v>
      </c>
      <c r="F214" s="361"/>
      <c r="G214" s="81">
        <v>20.46</v>
      </c>
      <c r="H214" s="67" t="s">
        <v>4</v>
      </c>
    </row>
    <row r="215" spans="1:8" x14ac:dyDescent="0.25">
      <c r="A215" s="1" t="s">
        <v>4</v>
      </c>
      <c r="B215" s="2" t="s">
        <v>4</v>
      </c>
      <c r="C215" s="2" t="s">
        <v>4</v>
      </c>
      <c r="D215" s="80" t="s">
        <v>1232</v>
      </c>
      <c r="E215" s="361" t="s">
        <v>4</v>
      </c>
      <c r="F215" s="361"/>
      <c r="G215" s="81">
        <v>42.79</v>
      </c>
      <c r="H215" s="67" t="s">
        <v>4</v>
      </c>
    </row>
    <row r="216" spans="1:8" x14ac:dyDescent="0.25">
      <c r="A216" s="1" t="s">
        <v>4</v>
      </c>
      <c r="B216" s="2" t="s">
        <v>4</v>
      </c>
      <c r="C216" s="2" t="s">
        <v>4</v>
      </c>
      <c r="D216" s="80" t="s">
        <v>1233</v>
      </c>
      <c r="E216" s="361" t="s">
        <v>4</v>
      </c>
      <c r="F216" s="361"/>
      <c r="G216" s="81">
        <v>37.880000000000003</v>
      </c>
      <c r="H216" s="67" t="s">
        <v>4</v>
      </c>
    </row>
    <row r="217" spans="1:8" x14ac:dyDescent="0.25">
      <c r="A217" s="1" t="s">
        <v>117</v>
      </c>
      <c r="B217" s="2" t="s">
        <v>89</v>
      </c>
      <c r="C217" s="2" t="s">
        <v>409</v>
      </c>
      <c r="D217" s="259" t="s">
        <v>410</v>
      </c>
      <c r="E217" s="259"/>
      <c r="F217" s="2" t="s">
        <v>251</v>
      </c>
      <c r="G217" s="37">
        <v>19.760000000000002</v>
      </c>
      <c r="H217" s="38">
        <v>0</v>
      </c>
    </row>
    <row r="218" spans="1:8" x14ac:dyDescent="0.25">
      <c r="A218" s="69"/>
      <c r="D218" s="80" t="s">
        <v>1234</v>
      </c>
      <c r="E218" s="361" t="s">
        <v>1235</v>
      </c>
      <c r="F218" s="361"/>
      <c r="G218" s="81">
        <v>19.760000000000002</v>
      </c>
      <c r="H218" s="82"/>
    </row>
    <row r="219" spans="1:8" x14ac:dyDescent="0.25">
      <c r="A219" s="1" t="s">
        <v>4</v>
      </c>
      <c r="B219" s="2" t="s">
        <v>4</v>
      </c>
      <c r="C219" s="2" t="s">
        <v>4</v>
      </c>
      <c r="D219" s="80" t="s">
        <v>1236</v>
      </c>
      <c r="E219" s="361" t="s">
        <v>1237</v>
      </c>
      <c r="F219" s="361"/>
      <c r="G219" s="81">
        <v>0</v>
      </c>
      <c r="H219" s="67" t="s">
        <v>4</v>
      </c>
    </row>
    <row r="220" spans="1:8" x14ac:dyDescent="0.25">
      <c r="A220" s="1" t="s">
        <v>119</v>
      </c>
      <c r="B220" s="2" t="s">
        <v>89</v>
      </c>
      <c r="C220" s="2" t="s">
        <v>411</v>
      </c>
      <c r="D220" s="259" t="s">
        <v>412</v>
      </c>
      <c r="E220" s="259"/>
      <c r="F220" s="2" t="s">
        <v>313</v>
      </c>
      <c r="G220" s="37">
        <v>56.18</v>
      </c>
      <c r="H220" s="38">
        <v>0</v>
      </c>
    </row>
    <row r="221" spans="1:8" x14ac:dyDescent="0.25">
      <c r="A221" s="69"/>
      <c r="D221" s="80" t="s">
        <v>1238</v>
      </c>
      <c r="E221" s="361" t="s">
        <v>4</v>
      </c>
      <c r="F221" s="361"/>
      <c r="G221" s="81">
        <v>56.18</v>
      </c>
      <c r="H221" s="82"/>
    </row>
    <row r="222" spans="1:8" x14ac:dyDescent="0.25">
      <c r="A222" s="1" t="s">
        <v>121</v>
      </c>
      <c r="B222" s="2" t="s">
        <v>89</v>
      </c>
      <c r="C222" s="2" t="s">
        <v>414</v>
      </c>
      <c r="D222" s="259" t="s">
        <v>415</v>
      </c>
      <c r="E222" s="259"/>
      <c r="F222" s="2" t="s">
        <v>251</v>
      </c>
      <c r="G222" s="37">
        <v>65.802999999999997</v>
      </c>
      <c r="H222" s="38">
        <v>0</v>
      </c>
    </row>
    <row r="223" spans="1:8" x14ac:dyDescent="0.25">
      <c r="A223" s="69"/>
      <c r="D223" s="80" t="s">
        <v>1239</v>
      </c>
      <c r="E223" s="361" t="s">
        <v>4</v>
      </c>
      <c r="F223" s="361"/>
      <c r="G223" s="81">
        <v>9.5359999999999996</v>
      </c>
      <c r="H223" s="82"/>
    </row>
    <row r="224" spans="1:8" x14ac:dyDescent="0.25">
      <c r="A224" s="1" t="s">
        <v>4</v>
      </c>
      <c r="B224" s="2" t="s">
        <v>4</v>
      </c>
      <c r="C224" s="2" t="s">
        <v>4</v>
      </c>
      <c r="D224" s="80" t="s">
        <v>1240</v>
      </c>
      <c r="E224" s="361" t="s">
        <v>4</v>
      </c>
      <c r="F224" s="361"/>
      <c r="G224" s="81">
        <v>20.808</v>
      </c>
      <c r="H224" s="67" t="s">
        <v>4</v>
      </c>
    </row>
    <row r="225" spans="1:8" x14ac:dyDescent="0.25">
      <c r="A225" s="1" t="s">
        <v>4</v>
      </c>
      <c r="B225" s="2" t="s">
        <v>4</v>
      </c>
      <c r="C225" s="2" t="s">
        <v>4</v>
      </c>
      <c r="D225" s="80" t="s">
        <v>1241</v>
      </c>
      <c r="E225" s="361" t="s">
        <v>4</v>
      </c>
      <c r="F225" s="361"/>
      <c r="G225" s="81">
        <v>17.954999999999998</v>
      </c>
      <c r="H225" s="67" t="s">
        <v>4</v>
      </c>
    </row>
    <row r="226" spans="1:8" x14ac:dyDescent="0.25">
      <c r="A226" s="1" t="s">
        <v>4</v>
      </c>
      <c r="B226" s="2" t="s">
        <v>4</v>
      </c>
      <c r="C226" s="2" t="s">
        <v>4</v>
      </c>
      <c r="D226" s="80" t="s">
        <v>1242</v>
      </c>
      <c r="E226" s="361" t="s">
        <v>4</v>
      </c>
      <c r="F226" s="361"/>
      <c r="G226" s="81">
        <v>9.5839999999999996</v>
      </c>
      <c r="H226" s="67" t="s">
        <v>4</v>
      </c>
    </row>
    <row r="227" spans="1:8" x14ac:dyDescent="0.25">
      <c r="A227" s="1" t="s">
        <v>4</v>
      </c>
      <c r="B227" s="2" t="s">
        <v>4</v>
      </c>
      <c r="C227" s="2" t="s">
        <v>4</v>
      </c>
      <c r="D227" s="80" t="s">
        <v>1243</v>
      </c>
      <c r="E227" s="361" t="s">
        <v>4</v>
      </c>
      <c r="F227" s="361"/>
      <c r="G227" s="81">
        <v>7.92</v>
      </c>
      <c r="H227" s="67" t="s">
        <v>4</v>
      </c>
    </row>
    <row r="228" spans="1:8" x14ac:dyDescent="0.25">
      <c r="A228" s="1" t="s">
        <v>123</v>
      </c>
      <c r="B228" s="2" t="s">
        <v>89</v>
      </c>
      <c r="C228" s="2" t="s">
        <v>416</v>
      </c>
      <c r="D228" s="259" t="s">
        <v>417</v>
      </c>
      <c r="E228" s="259"/>
      <c r="F228" s="2" t="s">
        <v>251</v>
      </c>
      <c r="G228" s="37">
        <v>191.21029999999999</v>
      </c>
      <c r="H228" s="38">
        <v>0</v>
      </c>
    </row>
    <row r="229" spans="1:8" x14ac:dyDescent="0.25">
      <c r="A229" s="69"/>
      <c r="D229" s="80" t="s">
        <v>1244</v>
      </c>
      <c r="E229" s="361" t="s">
        <v>4</v>
      </c>
      <c r="F229" s="361"/>
      <c r="G229" s="81">
        <v>31.388999999999999</v>
      </c>
      <c r="H229" s="82"/>
    </row>
    <row r="230" spans="1:8" x14ac:dyDescent="0.25">
      <c r="A230" s="1" t="s">
        <v>4</v>
      </c>
      <c r="B230" s="2" t="s">
        <v>4</v>
      </c>
      <c r="C230" s="2" t="s">
        <v>4</v>
      </c>
      <c r="D230" s="80" t="s">
        <v>1245</v>
      </c>
      <c r="E230" s="361" t="s">
        <v>4</v>
      </c>
      <c r="F230" s="361"/>
      <c r="G230" s="81">
        <v>85.021699999999996</v>
      </c>
      <c r="H230" s="67" t="s">
        <v>4</v>
      </c>
    </row>
    <row r="231" spans="1:8" x14ac:dyDescent="0.25">
      <c r="A231" s="1" t="s">
        <v>4</v>
      </c>
      <c r="B231" s="2" t="s">
        <v>4</v>
      </c>
      <c r="C231" s="2" t="s">
        <v>4</v>
      </c>
      <c r="D231" s="80" t="s">
        <v>1246</v>
      </c>
      <c r="E231" s="361" t="s">
        <v>4</v>
      </c>
      <c r="F231" s="361"/>
      <c r="G231" s="81">
        <v>74.799599999999998</v>
      </c>
      <c r="H231" s="67" t="s">
        <v>4</v>
      </c>
    </row>
    <row r="232" spans="1:8" x14ac:dyDescent="0.25">
      <c r="A232" s="1" t="s">
        <v>418</v>
      </c>
      <c r="B232" s="2" t="s">
        <v>89</v>
      </c>
      <c r="C232" s="2" t="s">
        <v>419</v>
      </c>
      <c r="D232" s="259" t="s">
        <v>420</v>
      </c>
      <c r="E232" s="259"/>
      <c r="F232" s="2" t="s">
        <v>251</v>
      </c>
      <c r="G232" s="37">
        <v>15.0288</v>
      </c>
      <c r="H232" s="38">
        <v>0</v>
      </c>
    </row>
    <row r="233" spans="1:8" x14ac:dyDescent="0.25">
      <c r="A233" s="69"/>
      <c r="D233" s="80" t="s">
        <v>1247</v>
      </c>
      <c r="E233" s="361" t="s">
        <v>1248</v>
      </c>
      <c r="F233" s="361"/>
      <c r="G233" s="81">
        <v>6.4416000000000002</v>
      </c>
      <c r="H233" s="82"/>
    </row>
    <row r="234" spans="1:8" x14ac:dyDescent="0.25">
      <c r="A234" s="1" t="s">
        <v>4</v>
      </c>
      <c r="B234" s="2" t="s">
        <v>4</v>
      </c>
      <c r="C234" s="2" t="s">
        <v>4</v>
      </c>
      <c r="D234" s="80" t="s">
        <v>1249</v>
      </c>
      <c r="E234" s="361" t="s">
        <v>1235</v>
      </c>
      <c r="F234" s="361"/>
      <c r="G234" s="81">
        <v>8.5871999999999993</v>
      </c>
      <c r="H234" s="67" t="s">
        <v>4</v>
      </c>
    </row>
    <row r="235" spans="1:8" x14ac:dyDescent="0.25">
      <c r="A235" s="1" t="s">
        <v>421</v>
      </c>
      <c r="B235" s="2" t="s">
        <v>89</v>
      </c>
      <c r="C235" s="2" t="s">
        <v>422</v>
      </c>
      <c r="D235" s="259" t="s">
        <v>423</v>
      </c>
      <c r="E235" s="259"/>
      <c r="F235" s="2" t="s">
        <v>251</v>
      </c>
      <c r="G235" s="37">
        <v>39.972999999999999</v>
      </c>
      <c r="H235" s="38">
        <v>0</v>
      </c>
    </row>
    <row r="236" spans="1:8" x14ac:dyDescent="0.25">
      <c r="A236" s="69"/>
      <c r="D236" s="80" t="s">
        <v>1250</v>
      </c>
      <c r="E236" s="361" t="s">
        <v>4</v>
      </c>
      <c r="F236" s="361"/>
      <c r="G236" s="81">
        <v>1.21</v>
      </c>
      <c r="H236" s="82"/>
    </row>
    <row r="237" spans="1:8" x14ac:dyDescent="0.25">
      <c r="A237" s="1" t="s">
        <v>4</v>
      </c>
      <c r="B237" s="2" t="s">
        <v>4</v>
      </c>
      <c r="C237" s="2" t="s">
        <v>4</v>
      </c>
      <c r="D237" s="80" t="s">
        <v>1251</v>
      </c>
      <c r="E237" s="361" t="s">
        <v>4</v>
      </c>
      <c r="F237" s="361"/>
      <c r="G237" s="81">
        <v>0.34300000000000003</v>
      </c>
      <c r="H237" s="67" t="s">
        <v>4</v>
      </c>
    </row>
    <row r="238" spans="1:8" x14ac:dyDescent="0.25">
      <c r="A238" s="1" t="s">
        <v>4</v>
      </c>
      <c r="B238" s="2" t="s">
        <v>4</v>
      </c>
      <c r="C238" s="2" t="s">
        <v>4</v>
      </c>
      <c r="D238" s="80" t="s">
        <v>1252</v>
      </c>
      <c r="E238" s="361" t="s">
        <v>4</v>
      </c>
      <c r="F238" s="361"/>
      <c r="G238" s="81">
        <v>1.5760000000000001</v>
      </c>
      <c r="H238" s="67" t="s">
        <v>4</v>
      </c>
    </row>
    <row r="239" spans="1:8" x14ac:dyDescent="0.25">
      <c r="A239" s="1" t="s">
        <v>4</v>
      </c>
      <c r="B239" s="2" t="s">
        <v>4</v>
      </c>
      <c r="C239" s="2" t="s">
        <v>4</v>
      </c>
      <c r="D239" s="80" t="s">
        <v>1253</v>
      </c>
      <c r="E239" s="361" t="s">
        <v>4</v>
      </c>
      <c r="F239" s="361"/>
      <c r="G239" s="81">
        <v>0.30249999999999999</v>
      </c>
      <c r="H239" s="67" t="s">
        <v>4</v>
      </c>
    </row>
    <row r="240" spans="1:8" x14ac:dyDescent="0.25">
      <c r="A240" s="1" t="s">
        <v>4</v>
      </c>
      <c r="B240" s="2" t="s">
        <v>4</v>
      </c>
      <c r="C240" s="2" t="s">
        <v>4</v>
      </c>
      <c r="D240" s="80" t="s">
        <v>1254</v>
      </c>
      <c r="E240" s="361" t="s">
        <v>4</v>
      </c>
      <c r="F240" s="361"/>
      <c r="G240" s="81">
        <v>0.22</v>
      </c>
      <c r="H240" s="67" t="s">
        <v>4</v>
      </c>
    </row>
    <row r="241" spans="1:8" x14ac:dyDescent="0.25">
      <c r="A241" s="1" t="s">
        <v>4</v>
      </c>
      <c r="B241" s="2" t="s">
        <v>4</v>
      </c>
      <c r="C241" s="2" t="s">
        <v>4</v>
      </c>
      <c r="D241" s="80" t="s">
        <v>1255</v>
      </c>
      <c r="E241" s="361" t="s">
        <v>4</v>
      </c>
      <c r="F241" s="361"/>
      <c r="G241" s="81">
        <v>1.8</v>
      </c>
      <c r="H241" s="67" t="s">
        <v>4</v>
      </c>
    </row>
    <row r="242" spans="1:8" x14ac:dyDescent="0.25">
      <c r="A242" s="1" t="s">
        <v>4</v>
      </c>
      <c r="B242" s="2" t="s">
        <v>4</v>
      </c>
      <c r="C242" s="2" t="s">
        <v>4</v>
      </c>
      <c r="D242" s="80" t="s">
        <v>1256</v>
      </c>
      <c r="E242" s="361" t="s">
        <v>4</v>
      </c>
      <c r="F242" s="361"/>
      <c r="G242" s="81">
        <v>2.0499999999999998</v>
      </c>
      <c r="H242" s="67" t="s">
        <v>4</v>
      </c>
    </row>
    <row r="243" spans="1:8" x14ac:dyDescent="0.25">
      <c r="A243" s="1" t="s">
        <v>4</v>
      </c>
      <c r="B243" s="2" t="s">
        <v>4</v>
      </c>
      <c r="C243" s="2" t="s">
        <v>4</v>
      </c>
      <c r="D243" s="80" t="s">
        <v>1257</v>
      </c>
      <c r="E243" s="361" t="s">
        <v>4</v>
      </c>
      <c r="F243" s="361"/>
      <c r="G243" s="81">
        <v>0.372</v>
      </c>
      <c r="H243" s="67" t="s">
        <v>4</v>
      </c>
    </row>
    <row r="244" spans="1:8" x14ac:dyDescent="0.25">
      <c r="A244" s="1" t="s">
        <v>4</v>
      </c>
      <c r="B244" s="2" t="s">
        <v>4</v>
      </c>
      <c r="C244" s="2" t="s">
        <v>4</v>
      </c>
      <c r="D244" s="80" t="s">
        <v>1258</v>
      </c>
      <c r="E244" s="361" t="s">
        <v>4</v>
      </c>
      <c r="F244" s="361"/>
      <c r="G244" s="81">
        <v>0.61750000000000005</v>
      </c>
      <c r="H244" s="67" t="s">
        <v>4</v>
      </c>
    </row>
    <row r="245" spans="1:8" x14ac:dyDescent="0.25">
      <c r="A245" s="1" t="s">
        <v>4</v>
      </c>
      <c r="B245" s="2" t="s">
        <v>4</v>
      </c>
      <c r="C245" s="2" t="s">
        <v>4</v>
      </c>
      <c r="D245" s="80" t="s">
        <v>1259</v>
      </c>
      <c r="E245" s="361" t="s">
        <v>4</v>
      </c>
      <c r="F245" s="361"/>
      <c r="G245" s="81">
        <v>6.27</v>
      </c>
      <c r="H245" s="67" t="s">
        <v>4</v>
      </c>
    </row>
    <row r="246" spans="1:8" x14ac:dyDescent="0.25">
      <c r="A246" s="1" t="s">
        <v>4</v>
      </c>
      <c r="B246" s="2" t="s">
        <v>4</v>
      </c>
      <c r="C246" s="2" t="s">
        <v>4</v>
      </c>
      <c r="D246" s="80" t="s">
        <v>1260</v>
      </c>
      <c r="E246" s="361" t="s">
        <v>4</v>
      </c>
      <c r="F246" s="361"/>
      <c r="G246" s="81">
        <v>3.2865000000000002</v>
      </c>
      <c r="H246" s="67" t="s">
        <v>4</v>
      </c>
    </row>
    <row r="247" spans="1:8" x14ac:dyDescent="0.25">
      <c r="A247" s="1" t="s">
        <v>4</v>
      </c>
      <c r="B247" s="2" t="s">
        <v>4</v>
      </c>
      <c r="C247" s="2" t="s">
        <v>4</v>
      </c>
      <c r="D247" s="80" t="s">
        <v>1261</v>
      </c>
      <c r="E247" s="361" t="s">
        <v>4</v>
      </c>
      <c r="F247" s="361"/>
      <c r="G247" s="81">
        <v>2.34</v>
      </c>
      <c r="H247" s="67" t="s">
        <v>4</v>
      </c>
    </row>
    <row r="248" spans="1:8" x14ac:dyDescent="0.25">
      <c r="A248" s="1" t="s">
        <v>4</v>
      </c>
      <c r="B248" s="2" t="s">
        <v>4</v>
      </c>
      <c r="C248" s="2" t="s">
        <v>4</v>
      </c>
      <c r="D248" s="80" t="s">
        <v>1262</v>
      </c>
      <c r="E248" s="361" t="s">
        <v>4</v>
      </c>
      <c r="F248" s="361"/>
      <c r="G248" s="81">
        <v>3.12</v>
      </c>
      <c r="H248" s="67" t="s">
        <v>4</v>
      </c>
    </row>
    <row r="249" spans="1:8" x14ac:dyDescent="0.25">
      <c r="A249" s="1" t="s">
        <v>4</v>
      </c>
      <c r="B249" s="2" t="s">
        <v>4</v>
      </c>
      <c r="C249" s="2" t="s">
        <v>4</v>
      </c>
      <c r="D249" s="80" t="s">
        <v>1263</v>
      </c>
      <c r="E249" s="361" t="s">
        <v>4</v>
      </c>
      <c r="F249" s="361"/>
      <c r="G249" s="81">
        <v>1.9776</v>
      </c>
      <c r="H249" s="67" t="s">
        <v>4</v>
      </c>
    </row>
    <row r="250" spans="1:8" x14ac:dyDescent="0.25">
      <c r="A250" s="1" t="s">
        <v>4</v>
      </c>
      <c r="B250" s="2" t="s">
        <v>4</v>
      </c>
      <c r="C250" s="2" t="s">
        <v>4</v>
      </c>
      <c r="D250" s="80" t="s">
        <v>1264</v>
      </c>
      <c r="E250" s="361" t="s">
        <v>4</v>
      </c>
      <c r="F250" s="361"/>
      <c r="G250" s="81">
        <v>2.9725000000000001</v>
      </c>
      <c r="H250" s="67" t="s">
        <v>4</v>
      </c>
    </row>
    <row r="251" spans="1:8" x14ac:dyDescent="0.25">
      <c r="A251" s="1" t="s">
        <v>4</v>
      </c>
      <c r="B251" s="2" t="s">
        <v>4</v>
      </c>
      <c r="C251" s="2" t="s">
        <v>4</v>
      </c>
      <c r="D251" s="80" t="s">
        <v>1265</v>
      </c>
      <c r="E251" s="361" t="s">
        <v>4</v>
      </c>
      <c r="F251" s="361"/>
      <c r="G251" s="81">
        <v>2.9603999999999999</v>
      </c>
      <c r="H251" s="67" t="s">
        <v>4</v>
      </c>
    </row>
    <row r="252" spans="1:8" x14ac:dyDescent="0.25">
      <c r="A252" s="1" t="s">
        <v>4</v>
      </c>
      <c r="B252" s="2" t="s">
        <v>4</v>
      </c>
      <c r="C252" s="2" t="s">
        <v>4</v>
      </c>
      <c r="D252" s="80" t="s">
        <v>1266</v>
      </c>
      <c r="E252" s="361" t="s">
        <v>4</v>
      </c>
      <c r="F252" s="361"/>
      <c r="G252" s="81">
        <v>3.48</v>
      </c>
      <c r="H252" s="67" t="s">
        <v>4</v>
      </c>
    </row>
    <row r="253" spans="1:8" x14ac:dyDescent="0.25">
      <c r="A253" s="1" t="s">
        <v>4</v>
      </c>
      <c r="B253" s="2" t="s">
        <v>4</v>
      </c>
      <c r="C253" s="2" t="s">
        <v>4</v>
      </c>
      <c r="D253" s="80" t="s">
        <v>1267</v>
      </c>
      <c r="E253" s="361" t="s">
        <v>4</v>
      </c>
      <c r="F253" s="361"/>
      <c r="G253" s="81">
        <v>2.9</v>
      </c>
      <c r="H253" s="67" t="s">
        <v>4</v>
      </c>
    </row>
    <row r="254" spans="1:8" x14ac:dyDescent="0.25">
      <c r="A254" s="1" t="s">
        <v>4</v>
      </c>
      <c r="B254" s="2" t="s">
        <v>4</v>
      </c>
      <c r="C254" s="2" t="s">
        <v>4</v>
      </c>
      <c r="D254" s="80" t="s">
        <v>1268</v>
      </c>
      <c r="E254" s="361" t="s">
        <v>4</v>
      </c>
      <c r="F254" s="361"/>
      <c r="G254" s="81">
        <v>2.1749999999999998</v>
      </c>
      <c r="H254" s="67" t="s">
        <v>4</v>
      </c>
    </row>
    <row r="255" spans="1:8" x14ac:dyDescent="0.25">
      <c r="A255" s="1" t="s">
        <v>424</v>
      </c>
      <c r="B255" s="2" t="s">
        <v>89</v>
      </c>
      <c r="C255" s="2" t="s">
        <v>425</v>
      </c>
      <c r="D255" s="259" t="s">
        <v>426</v>
      </c>
      <c r="E255" s="259"/>
      <c r="F255" s="2" t="s">
        <v>251</v>
      </c>
      <c r="G255" s="37">
        <v>77.103989999999996</v>
      </c>
      <c r="H255" s="38">
        <v>0</v>
      </c>
    </row>
    <row r="256" spans="1:8" x14ac:dyDescent="0.25">
      <c r="A256" s="69"/>
      <c r="D256" s="80" t="s">
        <v>1269</v>
      </c>
      <c r="E256" s="361" t="s">
        <v>4</v>
      </c>
      <c r="F256" s="361"/>
      <c r="G256" s="81">
        <v>77.103989999999996</v>
      </c>
      <c r="H256" s="82"/>
    </row>
    <row r="257" spans="1:8" x14ac:dyDescent="0.25">
      <c r="A257" s="1" t="s">
        <v>427</v>
      </c>
      <c r="B257" s="2" t="s">
        <v>89</v>
      </c>
      <c r="C257" s="2" t="s">
        <v>428</v>
      </c>
      <c r="D257" s="259" t="s">
        <v>429</v>
      </c>
      <c r="E257" s="259"/>
      <c r="F257" s="2" t="s">
        <v>251</v>
      </c>
      <c r="G257" s="37">
        <v>257.01330000000002</v>
      </c>
      <c r="H257" s="38">
        <v>0</v>
      </c>
    </row>
    <row r="258" spans="1:8" x14ac:dyDescent="0.25">
      <c r="A258" s="69"/>
      <c r="D258" s="80" t="s">
        <v>1270</v>
      </c>
      <c r="E258" s="361" t="s">
        <v>4</v>
      </c>
      <c r="F258" s="361"/>
      <c r="G258" s="81">
        <v>257.01330000000002</v>
      </c>
      <c r="H258" s="82"/>
    </row>
    <row r="259" spans="1:8" x14ac:dyDescent="0.25">
      <c r="A259" s="1" t="s">
        <v>430</v>
      </c>
      <c r="B259" s="2" t="s">
        <v>89</v>
      </c>
      <c r="C259" s="2" t="s">
        <v>431</v>
      </c>
      <c r="D259" s="259" t="s">
        <v>432</v>
      </c>
      <c r="E259" s="259"/>
      <c r="F259" s="2" t="s">
        <v>313</v>
      </c>
      <c r="G259" s="37">
        <v>112.04</v>
      </c>
      <c r="H259" s="38">
        <v>0</v>
      </c>
    </row>
    <row r="260" spans="1:8" x14ac:dyDescent="0.25">
      <c r="A260" s="69"/>
      <c r="D260" s="80" t="s">
        <v>1271</v>
      </c>
      <c r="E260" s="361" t="s">
        <v>4</v>
      </c>
      <c r="F260" s="361"/>
      <c r="G260" s="81">
        <v>112.04</v>
      </c>
      <c r="H260" s="82"/>
    </row>
    <row r="261" spans="1:8" x14ac:dyDescent="0.25">
      <c r="A261" s="1" t="s">
        <v>433</v>
      </c>
      <c r="B261" s="2" t="s">
        <v>89</v>
      </c>
      <c r="C261" s="2" t="s">
        <v>434</v>
      </c>
      <c r="D261" s="259" t="s">
        <v>435</v>
      </c>
      <c r="E261" s="259"/>
      <c r="F261" s="2" t="s">
        <v>251</v>
      </c>
      <c r="G261" s="37">
        <v>39.35</v>
      </c>
      <c r="H261" s="38">
        <v>0</v>
      </c>
    </row>
    <row r="262" spans="1:8" x14ac:dyDescent="0.25">
      <c r="A262" s="69"/>
      <c r="D262" s="80" t="s">
        <v>1272</v>
      </c>
      <c r="E262" s="361" t="s">
        <v>4</v>
      </c>
      <c r="F262" s="361"/>
      <c r="G262" s="81">
        <v>13.21</v>
      </c>
      <c r="H262" s="82"/>
    </row>
    <row r="263" spans="1:8" x14ac:dyDescent="0.25">
      <c r="A263" s="1" t="s">
        <v>4</v>
      </c>
      <c r="B263" s="2" t="s">
        <v>4</v>
      </c>
      <c r="C263" s="2" t="s">
        <v>4</v>
      </c>
      <c r="D263" s="80" t="s">
        <v>1273</v>
      </c>
      <c r="E263" s="361" t="s">
        <v>4</v>
      </c>
      <c r="F263" s="361"/>
      <c r="G263" s="81">
        <v>16.43</v>
      </c>
      <c r="H263" s="67" t="s">
        <v>4</v>
      </c>
    </row>
    <row r="264" spans="1:8" x14ac:dyDescent="0.25">
      <c r="A264" s="1" t="s">
        <v>4</v>
      </c>
      <c r="B264" s="2" t="s">
        <v>4</v>
      </c>
      <c r="C264" s="2" t="s">
        <v>4</v>
      </c>
      <c r="D264" s="80" t="s">
        <v>1274</v>
      </c>
      <c r="E264" s="361" t="s">
        <v>4</v>
      </c>
      <c r="F264" s="361"/>
      <c r="G264" s="81">
        <v>6.96</v>
      </c>
      <c r="H264" s="67" t="s">
        <v>4</v>
      </c>
    </row>
    <row r="265" spans="1:8" x14ac:dyDescent="0.25">
      <c r="A265" s="1" t="s">
        <v>4</v>
      </c>
      <c r="B265" s="2" t="s">
        <v>4</v>
      </c>
      <c r="C265" s="2" t="s">
        <v>4</v>
      </c>
      <c r="D265" s="80" t="s">
        <v>1275</v>
      </c>
      <c r="E265" s="361" t="s">
        <v>4</v>
      </c>
      <c r="F265" s="361"/>
      <c r="G265" s="81">
        <v>2.75</v>
      </c>
      <c r="H265" s="67" t="s">
        <v>4</v>
      </c>
    </row>
    <row r="266" spans="1:8" x14ac:dyDescent="0.25">
      <c r="A266" s="1" t="s">
        <v>437</v>
      </c>
      <c r="B266" s="2" t="s">
        <v>89</v>
      </c>
      <c r="C266" s="2" t="s">
        <v>438</v>
      </c>
      <c r="D266" s="259" t="s">
        <v>439</v>
      </c>
      <c r="E266" s="259"/>
      <c r="F266" s="2" t="s">
        <v>251</v>
      </c>
      <c r="G266" s="37">
        <v>39.35</v>
      </c>
      <c r="H266" s="38">
        <v>0</v>
      </c>
    </row>
    <row r="267" spans="1:8" x14ac:dyDescent="0.25">
      <c r="A267" s="69"/>
      <c r="D267" s="80" t="s">
        <v>1272</v>
      </c>
      <c r="E267" s="361" t="s">
        <v>4</v>
      </c>
      <c r="F267" s="361"/>
      <c r="G267" s="81">
        <v>13.21</v>
      </c>
      <c r="H267" s="82"/>
    </row>
    <row r="268" spans="1:8" x14ac:dyDescent="0.25">
      <c r="A268" s="1" t="s">
        <v>4</v>
      </c>
      <c r="B268" s="2" t="s">
        <v>4</v>
      </c>
      <c r="C268" s="2" t="s">
        <v>4</v>
      </c>
      <c r="D268" s="80" t="s">
        <v>1273</v>
      </c>
      <c r="E268" s="361" t="s">
        <v>4</v>
      </c>
      <c r="F268" s="361"/>
      <c r="G268" s="81">
        <v>16.43</v>
      </c>
      <c r="H268" s="67" t="s">
        <v>4</v>
      </c>
    </row>
    <row r="269" spans="1:8" x14ac:dyDescent="0.25">
      <c r="A269" s="1" t="s">
        <v>4</v>
      </c>
      <c r="B269" s="2" t="s">
        <v>4</v>
      </c>
      <c r="C269" s="2" t="s">
        <v>4</v>
      </c>
      <c r="D269" s="80" t="s">
        <v>1274</v>
      </c>
      <c r="E269" s="361" t="s">
        <v>4</v>
      </c>
      <c r="F269" s="361"/>
      <c r="G269" s="81">
        <v>6.96</v>
      </c>
      <c r="H269" s="67" t="s">
        <v>4</v>
      </c>
    </row>
    <row r="270" spans="1:8" x14ac:dyDescent="0.25">
      <c r="A270" s="1" t="s">
        <v>4</v>
      </c>
      <c r="B270" s="2" t="s">
        <v>4</v>
      </c>
      <c r="C270" s="2" t="s">
        <v>4</v>
      </c>
      <c r="D270" s="80" t="s">
        <v>1275</v>
      </c>
      <c r="E270" s="361" t="s">
        <v>4</v>
      </c>
      <c r="F270" s="361"/>
      <c r="G270" s="81">
        <v>2.75</v>
      </c>
      <c r="H270" s="67" t="s">
        <v>4</v>
      </c>
    </row>
    <row r="271" spans="1:8" x14ac:dyDescent="0.25">
      <c r="A271" s="1" t="s">
        <v>440</v>
      </c>
      <c r="B271" s="2" t="s">
        <v>89</v>
      </c>
      <c r="C271" s="2" t="s">
        <v>441</v>
      </c>
      <c r="D271" s="259" t="s">
        <v>442</v>
      </c>
      <c r="E271" s="259"/>
      <c r="F271" s="2" t="s">
        <v>313</v>
      </c>
      <c r="G271" s="37">
        <v>22.6</v>
      </c>
      <c r="H271" s="38">
        <v>0</v>
      </c>
    </row>
    <row r="272" spans="1:8" x14ac:dyDescent="0.25">
      <c r="A272" s="69"/>
      <c r="D272" s="80" t="s">
        <v>1276</v>
      </c>
      <c r="E272" s="361" t="s">
        <v>1277</v>
      </c>
      <c r="F272" s="361"/>
      <c r="G272" s="81">
        <v>1.1000000000000001</v>
      </c>
      <c r="H272" s="82"/>
    </row>
    <row r="273" spans="1:8" x14ac:dyDescent="0.25">
      <c r="A273" s="1" t="s">
        <v>4</v>
      </c>
      <c r="B273" s="2" t="s">
        <v>4</v>
      </c>
      <c r="C273" s="2" t="s">
        <v>4</v>
      </c>
      <c r="D273" s="80" t="s">
        <v>1278</v>
      </c>
      <c r="E273" s="361" t="s">
        <v>1279</v>
      </c>
      <c r="F273" s="361"/>
      <c r="G273" s="81">
        <v>0.98</v>
      </c>
      <c r="H273" s="67" t="s">
        <v>4</v>
      </c>
    </row>
    <row r="274" spans="1:8" x14ac:dyDescent="0.25">
      <c r="A274" s="1" t="s">
        <v>4</v>
      </c>
      <c r="B274" s="2" t="s">
        <v>4</v>
      </c>
      <c r="C274" s="2" t="s">
        <v>4</v>
      </c>
      <c r="D274" s="80" t="s">
        <v>1280</v>
      </c>
      <c r="E274" s="361" t="s">
        <v>1281</v>
      </c>
      <c r="F274" s="361"/>
      <c r="G274" s="81">
        <v>0.55000000000000004</v>
      </c>
      <c r="H274" s="67" t="s">
        <v>4</v>
      </c>
    </row>
    <row r="275" spans="1:8" x14ac:dyDescent="0.25">
      <c r="A275" s="1" t="s">
        <v>4</v>
      </c>
      <c r="B275" s="2" t="s">
        <v>4</v>
      </c>
      <c r="C275" s="2" t="s">
        <v>4</v>
      </c>
      <c r="D275" s="80" t="s">
        <v>1282</v>
      </c>
      <c r="E275" s="361" t="s">
        <v>1283</v>
      </c>
      <c r="F275" s="361"/>
      <c r="G275" s="81">
        <v>0.4</v>
      </c>
      <c r="H275" s="67" t="s">
        <v>4</v>
      </c>
    </row>
    <row r="276" spans="1:8" x14ac:dyDescent="0.25">
      <c r="A276" s="1" t="s">
        <v>4</v>
      </c>
      <c r="B276" s="2" t="s">
        <v>4</v>
      </c>
      <c r="C276" s="2" t="s">
        <v>4</v>
      </c>
      <c r="D276" s="80" t="s">
        <v>1284</v>
      </c>
      <c r="E276" s="361" t="s">
        <v>1285</v>
      </c>
      <c r="F276" s="361"/>
      <c r="G276" s="81">
        <v>1.2</v>
      </c>
      <c r="H276" s="67" t="s">
        <v>4</v>
      </c>
    </row>
    <row r="277" spans="1:8" x14ac:dyDescent="0.25">
      <c r="A277" s="1" t="s">
        <v>4</v>
      </c>
      <c r="B277" s="2" t="s">
        <v>4</v>
      </c>
      <c r="C277" s="2" t="s">
        <v>4</v>
      </c>
      <c r="D277" s="80" t="s">
        <v>1286</v>
      </c>
      <c r="E277" s="361" t="s">
        <v>1287</v>
      </c>
      <c r="F277" s="361"/>
      <c r="G277" s="81">
        <v>0.93</v>
      </c>
      <c r="H277" s="67" t="s">
        <v>4</v>
      </c>
    </row>
    <row r="278" spans="1:8" x14ac:dyDescent="0.25">
      <c r="A278" s="1" t="s">
        <v>4</v>
      </c>
      <c r="B278" s="2" t="s">
        <v>4</v>
      </c>
      <c r="C278" s="2" t="s">
        <v>4</v>
      </c>
      <c r="D278" s="80" t="s">
        <v>1288</v>
      </c>
      <c r="E278" s="361" t="s">
        <v>1289</v>
      </c>
      <c r="F278" s="361"/>
      <c r="G278" s="81">
        <v>0.95</v>
      </c>
      <c r="H278" s="67" t="s">
        <v>4</v>
      </c>
    </row>
    <row r="279" spans="1:8" x14ac:dyDescent="0.25">
      <c r="A279" s="1" t="s">
        <v>4</v>
      </c>
      <c r="B279" s="2" t="s">
        <v>4</v>
      </c>
      <c r="C279" s="2" t="s">
        <v>4</v>
      </c>
      <c r="D279" s="80" t="s">
        <v>1290</v>
      </c>
      <c r="E279" s="361" t="s">
        <v>1291</v>
      </c>
      <c r="F279" s="361"/>
      <c r="G279" s="81">
        <v>3.8</v>
      </c>
      <c r="H279" s="67" t="s">
        <v>4</v>
      </c>
    </row>
    <row r="280" spans="1:8" x14ac:dyDescent="0.25">
      <c r="A280" s="1" t="s">
        <v>4</v>
      </c>
      <c r="B280" s="2" t="s">
        <v>4</v>
      </c>
      <c r="C280" s="2" t="s">
        <v>4</v>
      </c>
      <c r="D280" s="80" t="s">
        <v>1292</v>
      </c>
      <c r="E280" s="361" t="s">
        <v>1293</v>
      </c>
      <c r="F280" s="361"/>
      <c r="G280" s="81">
        <v>1.8</v>
      </c>
      <c r="H280" s="67" t="s">
        <v>4</v>
      </c>
    </row>
    <row r="281" spans="1:8" x14ac:dyDescent="0.25">
      <c r="A281" s="1" t="s">
        <v>4</v>
      </c>
      <c r="B281" s="2" t="s">
        <v>4</v>
      </c>
      <c r="C281" s="2" t="s">
        <v>4</v>
      </c>
      <c r="D281" s="80" t="s">
        <v>1294</v>
      </c>
      <c r="E281" s="361" t="s">
        <v>1295</v>
      </c>
      <c r="F281" s="361"/>
      <c r="G281" s="81">
        <v>2.4</v>
      </c>
      <c r="H281" s="67" t="s">
        <v>4</v>
      </c>
    </row>
    <row r="282" spans="1:8" x14ac:dyDescent="0.25">
      <c r="A282" s="1" t="s">
        <v>4</v>
      </c>
      <c r="B282" s="2" t="s">
        <v>4</v>
      </c>
      <c r="C282" s="2" t="s">
        <v>4</v>
      </c>
      <c r="D282" s="80" t="s">
        <v>1296</v>
      </c>
      <c r="E282" s="361" t="s">
        <v>1297</v>
      </c>
      <c r="F282" s="361"/>
      <c r="G282" s="81">
        <v>2.0499999999999998</v>
      </c>
      <c r="H282" s="67" t="s">
        <v>4</v>
      </c>
    </row>
    <row r="283" spans="1:8" x14ac:dyDescent="0.25">
      <c r="A283" s="1" t="s">
        <v>4</v>
      </c>
      <c r="B283" s="2" t="s">
        <v>4</v>
      </c>
      <c r="C283" s="2" t="s">
        <v>4</v>
      </c>
      <c r="D283" s="80" t="s">
        <v>1298</v>
      </c>
      <c r="E283" s="361" t="s">
        <v>1299</v>
      </c>
      <c r="F283" s="361"/>
      <c r="G283" s="81">
        <v>0.54</v>
      </c>
      <c r="H283" s="67" t="s">
        <v>4</v>
      </c>
    </row>
    <row r="284" spans="1:8" x14ac:dyDescent="0.25">
      <c r="A284" s="1" t="s">
        <v>4</v>
      </c>
      <c r="B284" s="2" t="s">
        <v>4</v>
      </c>
      <c r="C284" s="2" t="s">
        <v>4</v>
      </c>
      <c r="D284" s="80" t="s">
        <v>1294</v>
      </c>
      <c r="E284" s="361" t="s">
        <v>1300</v>
      </c>
      <c r="F284" s="361"/>
      <c r="G284" s="81">
        <v>2.4</v>
      </c>
      <c r="H284" s="67" t="s">
        <v>4</v>
      </c>
    </row>
    <row r="285" spans="1:8" x14ac:dyDescent="0.25">
      <c r="A285" s="1" t="s">
        <v>4</v>
      </c>
      <c r="B285" s="2" t="s">
        <v>4</v>
      </c>
      <c r="C285" s="2" t="s">
        <v>4</v>
      </c>
      <c r="D285" s="80" t="s">
        <v>221</v>
      </c>
      <c r="E285" s="361" t="s">
        <v>1301</v>
      </c>
      <c r="F285" s="361"/>
      <c r="G285" s="81">
        <v>2</v>
      </c>
      <c r="H285" s="67" t="s">
        <v>4</v>
      </c>
    </row>
    <row r="286" spans="1:8" x14ac:dyDescent="0.25">
      <c r="A286" s="1" t="s">
        <v>4</v>
      </c>
      <c r="B286" s="2" t="s">
        <v>4</v>
      </c>
      <c r="C286" s="2" t="s">
        <v>4</v>
      </c>
      <c r="D286" s="80" t="s">
        <v>1193</v>
      </c>
      <c r="E286" s="361" t="s">
        <v>1302</v>
      </c>
      <c r="F286" s="361"/>
      <c r="G286" s="81">
        <v>1.5</v>
      </c>
      <c r="H286" s="67" t="s">
        <v>4</v>
      </c>
    </row>
    <row r="287" spans="1:8" x14ac:dyDescent="0.25">
      <c r="A287" s="1" t="s">
        <v>139</v>
      </c>
      <c r="B287" s="2" t="s">
        <v>89</v>
      </c>
      <c r="C287" s="2" t="s">
        <v>444</v>
      </c>
      <c r="D287" s="259" t="s">
        <v>445</v>
      </c>
      <c r="E287" s="259"/>
      <c r="F287" s="2" t="s">
        <v>266</v>
      </c>
      <c r="G287" s="37">
        <v>95.289860000000004</v>
      </c>
      <c r="H287" s="38">
        <v>0</v>
      </c>
    </row>
    <row r="288" spans="1:8" x14ac:dyDescent="0.25">
      <c r="A288" s="1" t="s">
        <v>446</v>
      </c>
      <c r="B288" s="2" t="s">
        <v>89</v>
      </c>
      <c r="C288" s="2" t="s">
        <v>447</v>
      </c>
      <c r="D288" s="259" t="s">
        <v>448</v>
      </c>
      <c r="E288" s="259"/>
      <c r="F288" s="2" t="s">
        <v>251</v>
      </c>
      <c r="G288" s="37">
        <v>10.9823</v>
      </c>
      <c r="H288" s="38">
        <v>0</v>
      </c>
    </row>
    <row r="289" spans="1:8" x14ac:dyDescent="0.25">
      <c r="A289" s="69"/>
      <c r="D289" s="80" t="s">
        <v>1303</v>
      </c>
      <c r="E289" s="361" t="s">
        <v>4</v>
      </c>
      <c r="F289" s="361"/>
      <c r="G289" s="81">
        <v>10.9823</v>
      </c>
      <c r="H289" s="82"/>
    </row>
    <row r="290" spans="1:8" x14ac:dyDescent="0.25">
      <c r="A290" s="1" t="s">
        <v>451</v>
      </c>
      <c r="B290" s="2" t="s">
        <v>89</v>
      </c>
      <c r="C290" s="2" t="s">
        <v>452</v>
      </c>
      <c r="D290" s="259" t="s">
        <v>453</v>
      </c>
      <c r="E290" s="259"/>
      <c r="F290" s="2" t="s">
        <v>251</v>
      </c>
      <c r="G290" s="37">
        <v>13.17876</v>
      </c>
      <c r="H290" s="38">
        <v>0</v>
      </c>
    </row>
    <row r="291" spans="1:8" x14ac:dyDescent="0.25">
      <c r="A291" s="69"/>
      <c r="D291" s="80" t="s">
        <v>1304</v>
      </c>
      <c r="E291" s="361" t="s">
        <v>4</v>
      </c>
      <c r="F291" s="361"/>
      <c r="G291" s="81">
        <v>13.17876</v>
      </c>
      <c r="H291" s="82"/>
    </row>
    <row r="292" spans="1:8" x14ac:dyDescent="0.25">
      <c r="A292" s="1" t="s">
        <v>454</v>
      </c>
      <c r="B292" s="2" t="s">
        <v>89</v>
      </c>
      <c r="C292" s="2" t="s">
        <v>455</v>
      </c>
      <c r="D292" s="259" t="s">
        <v>456</v>
      </c>
      <c r="E292" s="259"/>
      <c r="F292" s="2" t="s">
        <v>251</v>
      </c>
      <c r="G292" s="37">
        <v>12.62965</v>
      </c>
      <c r="H292" s="38">
        <v>0</v>
      </c>
    </row>
    <row r="293" spans="1:8" x14ac:dyDescent="0.25">
      <c r="A293" s="69"/>
      <c r="D293" s="80" t="s">
        <v>1305</v>
      </c>
      <c r="E293" s="361" t="s">
        <v>4</v>
      </c>
      <c r="F293" s="361"/>
      <c r="G293" s="81">
        <v>12.62965</v>
      </c>
      <c r="H293" s="82"/>
    </row>
    <row r="294" spans="1:8" x14ac:dyDescent="0.25">
      <c r="A294" s="1" t="s">
        <v>457</v>
      </c>
      <c r="B294" s="2" t="s">
        <v>89</v>
      </c>
      <c r="C294" s="2" t="s">
        <v>458</v>
      </c>
      <c r="D294" s="259" t="s">
        <v>459</v>
      </c>
      <c r="E294" s="259"/>
      <c r="F294" s="2" t="s">
        <v>63</v>
      </c>
      <c r="G294" s="37">
        <v>128.24160000000001</v>
      </c>
      <c r="H294" s="38">
        <v>0</v>
      </c>
    </row>
    <row r="295" spans="1:8" x14ac:dyDescent="0.25">
      <c r="A295" s="69"/>
      <c r="D295" s="80" t="s">
        <v>1306</v>
      </c>
      <c r="E295" s="361" t="s">
        <v>4</v>
      </c>
      <c r="F295" s="361"/>
      <c r="G295" s="81">
        <v>128.24160000000001</v>
      </c>
      <c r="H295" s="82"/>
    </row>
    <row r="296" spans="1:8" x14ac:dyDescent="0.25">
      <c r="A296" s="1" t="s">
        <v>460</v>
      </c>
      <c r="B296" s="2" t="s">
        <v>89</v>
      </c>
      <c r="C296" s="2" t="s">
        <v>461</v>
      </c>
      <c r="D296" s="259" t="s">
        <v>462</v>
      </c>
      <c r="E296" s="259"/>
      <c r="F296" s="2" t="s">
        <v>251</v>
      </c>
      <c r="G296" s="37">
        <v>119.73</v>
      </c>
      <c r="H296" s="38">
        <v>0</v>
      </c>
    </row>
    <row r="297" spans="1:8" x14ac:dyDescent="0.25">
      <c r="A297" s="69"/>
      <c r="D297" s="80" t="s">
        <v>1208</v>
      </c>
      <c r="E297" s="361" t="s">
        <v>1209</v>
      </c>
      <c r="F297" s="361"/>
      <c r="G297" s="81">
        <v>49.06</v>
      </c>
      <c r="H297" s="82"/>
    </row>
    <row r="298" spans="1:8" x14ac:dyDescent="0.25">
      <c r="A298" s="1" t="s">
        <v>4</v>
      </c>
      <c r="B298" s="2" t="s">
        <v>4</v>
      </c>
      <c r="C298" s="2" t="s">
        <v>4</v>
      </c>
      <c r="D298" s="80" t="s">
        <v>1210</v>
      </c>
      <c r="E298" s="361" t="s">
        <v>1211</v>
      </c>
      <c r="F298" s="361"/>
      <c r="G298" s="81">
        <v>55.51</v>
      </c>
      <c r="H298" s="67" t="s">
        <v>4</v>
      </c>
    </row>
    <row r="299" spans="1:8" x14ac:dyDescent="0.25">
      <c r="A299" s="1" t="s">
        <v>4</v>
      </c>
      <c r="B299" s="2" t="s">
        <v>4</v>
      </c>
      <c r="C299" s="2" t="s">
        <v>4</v>
      </c>
      <c r="D299" s="80" t="s">
        <v>1307</v>
      </c>
      <c r="E299" s="361" t="s">
        <v>1308</v>
      </c>
      <c r="F299" s="361"/>
      <c r="G299" s="81">
        <v>15.16</v>
      </c>
      <c r="H299" s="67" t="s">
        <v>4</v>
      </c>
    </row>
    <row r="300" spans="1:8" x14ac:dyDescent="0.25">
      <c r="A300" s="1" t="s">
        <v>464</v>
      </c>
      <c r="B300" s="2" t="s">
        <v>89</v>
      </c>
      <c r="C300" s="2" t="s">
        <v>465</v>
      </c>
      <c r="D300" s="259" t="s">
        <v>466</v>
      </c>
      <c r="E300" s="259"/>
      <c r="F300" s="2" t="s">
        <v>251</v>
      </c>
      <c r="G300" s="37">
        <v>331.74</v>
      </c>
      <c r="H300" s="38">
        <v>0</v>
      </c>
    </row>
    <row r="301" spans="1:8" x14ac:dyDescent="0.25">
      <c r="A301" s="69"/>
      <c r="D301" s="80" t="s">
        <v>1208</v>
      </c>
      <c r="E301" s="361" t="s">
        <v>1209</v>
      </c>
      <c r="F301" s="361"/>
      <c r="G301" s="81">
        <v>49.06</v>
      </c>
      <c r="H301" s="82"/>
    </row>
    <row r="302" spans="1:8" x14ac:dyDescent="0.25">
      <c r="A302" s="1" t="s">
        <v>4</v>
      </c>
      <c r="B302" s="2" t="s">
        <v>4</v>
      </c>
      <c r="C302" s="2" t="s">
        <v>4</v>
      </c>
      <c r="D302" s="80" t="s">
        <v>1309</v>
      </c>
      <c r="E302" s="361" t="s">
        <v>1211</v>
      </c>
      <c r="F302" s="361"/>
      <c r="G302" s="81">
        <v>222.04</v>
      </c>
      <c r="H302" s="67" t="s">
        <v>4</v>
      </c>
    </row>
    <row r="303" spans="1:8" x14ac:dyDescent="0.25">
      <c r="A303" s="1" t="s">
        <v>4</v>
      </c>
      <c r="B303" s="2" t="s">
        <v>4</v>
      </c>
      <c r="C303" s="2" t="s">
        <v>4</v>
      </c>
      <c r="D303" s="80" t="s">
        <v>1310</v>
      </c>
      <c r="E303" s="361" t="s">
        <v>1308</v>
      </c>
      <c r="F303" s="361"/>
      <c r="G303" s="81">
        <v>60.64</v>
      </c>
      <c r="H303" s="67" t="s">
        <v>4</v>
      </c>
    </row>
    <row r="304" spans="1:8" x14ac:dyDescent="0.25">
      <c r="A304" s="1" t="s">
        <v>467</v>
      </c>
      <c r="B304" s="2" t="s">
        <v>89</v>
      </c>
      <c r="C304" s="2" t="s">
        <v>468</v>
      </c>
      <c r="D304" s="259" t="s">
        <v>469</v>
      </c>
      <c r="E304" s="259"/>
      <c r="F304" s="2" t="s">
        <v>251</v>
      </c>
      <c r="G304" s="37">
        <v>281.9556</v>
      </c>
      <c r="H304" s="38">
        <v>0</v>
      </c>
    </row>
    <row r="305" spans="1:8" x14ac:dyDescent="0.25">
      <c r="A305" s="69"/>
      <c r="D305" s="80" t="s">
        <v>1208</v>
      </c>
      <c r="E305" s="361" t="s">
        <v>1209</v>
      </c>
      <c r="F305" s="361"/>
      <c r="G305" s="81">
        <v>49.06</v>
      </c>
      <c r="H305" s="82"/>
    </row>
    <row r="306" spans="1:8" x14ac:dyDescent="0.25">
      <c r="A306" s="1" t="s">
        <v>4</v>
      </c>
      <c r="B306" s="2" t="s">
        <v>4</v>
      </c>
      <c r="C306" s="2" t="s">
        <v>4</v>
      </c>
      <c r="D306" s="80" t="s">
        <v>1311</v>
      </c>
      <c r="E306" s="361" t="s">
        <v>1211</v>
      </c>
      <c r="F306" s="361"/>
      <c r="G306" s="81">
        <v>166.53</v>
      </c>
      <c r="H306" s="67" t="s">
        <v>4</v>
      </c>
    </row>
    <row r="307" spans="1:8" x14ac:dyDescent="0.25">
      <c r="A307" s="1" t="s">
        <v>4</v>
      </c>
      <c r="B307" s="2" t="s">
        <v>4</v>
      </c>
      <c r="C307" s="2" t="s">
        <v>4</v>
      </c>
      <c r="D307" s="80" t="s">
        <v>1312</v>
      </c>
      <c r="E307" s="361" t="s">
        <v>1308</v>
      </c>
      <c r="F307" s="361"/>
      <c r="G307" s="81">
        <v>45.48</v>
      </c>
      <c r="H307" s="67" t="s">
        <v>4</v>
      </c>
    </row>
    <row r="308" spans="1:8" x14ac:dyDescent="0.25">
      <c r="A308" s="1" t="s">
        <v>4</v>
      </c>
      <c r="B308" s="2" t="s">
        <v>4</v>
      </c>
      <c r="C308" s="2" t="s">
        <v>4</v>
      </c>
      <c r="D308" s="80" t="s">
        <v>1313</v>
      </c>
      <c r="E308" s="361" t="s">
        <v>4</v>
      </c>
      <c r="F308" s="361"/>
      <c r="G308" s="81">
        <v>20.8856</v>
      </c>
      <c r="H308" s="67" t="s">
        <v>4</v>
      </c>
    </row>
    <row r="309" spans="1:8" x14ac:dyDescent="0.25">
      <c r="A309" s="1" t="s">
        <v>470</v>
      </c>
      <c r="B309" s="2" t="s">
        <v>89</v>
      </c>
      <c r="C309" s="2" t="s">
        <v>471</v>
      </c>
      <c r="D309" s="259" t="s">
        <v>472</v>
      </c>
      <c r="E309" s="259"/>
      <c r="F309" s="2" t="s">
        <v>251</v>
      </c>
      <c r="G309" s="37">
        <v>76.323599999999999</v>
      </c>
      <c r="H309" s="38">
        <v>0</v>
      </c>
    </row>
    <row r="310" spans="1:8" x14ac:dyDescent="0.25">
      <c r="A310" s="69"/>
      <c r="D310" s="80" t="s">
        <v>1314</v>
      </c>
      <c r="E310" s="361" t="s">
        <v>1211</v>
      </c>
      <c r="F310" s="361"/>
      <c r="G310" s="81">
        <v>55.51</v>
      </c>
      <c r="H310" s="82"/>
    </row>
    <row r="311" spans="1:8" x14ac:dyDescent="0.25">
      <c r="A311" s="1" t="s">
        <v>4</v>
      </c>
      <c r="B311" s="2" t="s">
        <v>4</v>
      </c>
      <c r="C311" s="2" t="s">
        <v>4</v>
      </c>
      <c r="D311" s="80" t="s">
        <v>1315</v>
      </c>
      <c r="E311" s="361" t="s">
        <v>1308</v>
      </c>
      <c r="F311" s="361"/>
      <c r="G311" s="81">
        <v>15.16</v>
      </c>
      <c r="H311" s="67" t="s">
        <v>4</v>
      </c>
    </row>
    <row r="312" spans="1:8" x14ac:dyDescent="0.25">
      <c r="A312" s="1" t="s">
        <v>4</v>
      </c>
      <c r="B312" s="2" t="s">
        <v>4</v>
      </c>
      <c r="C312" s="2" t="s">
        <v>4</v>
      </c>
      <c r="D312" s="80" t="s">
        <v>1316</v>
      </c>
      <c r="E312" s="361" t="s">
        <v>4</v>
      </c>
      <c r="F312" s="361"/>
      <c r="G312" s="81">
        <v>5.6536</v>
      </c>
      <c r="H312" s="67" t="s">
        <v>4</v>
      </c>
    </row>
    <row r="313" spans="1:8" x14ac:dyDescent="0.25">
      <c r="A313" s="1" t="s">
        <v>473</v>
      </c>
      <c r="B313" s="2" t="s">
        <v>89</v>
      </c>
      <c r="C313" s="2" t="s">
        <v>474</v>
      </c>
      <c r="D313" s="259" t="s">
        <v>475</v>
      </c>
      <c r="E313" s="259"/>
      <c r="F313" s="2" t="s">
        <v>63</v>
      </c>
      <c r="G313" s="37">
        <v>2488.4241000000002</v>
      </c>
      <c r="H313" s="38">
        <v>0</v>
      </c>
    </row>
    <row r="314" spans="1:8" x14ac:dyDescent="0.25">
      <c r="A314" s="69"/>
      <c r="D314" s="80" t="s">
        <v>1317</v>
      </c>
      <c r="E314" s="361" t="s">
        <v>4</v>
      </c>
      <c r="F314" s="361"/>
      <c r="G314" s="81">
        <v>2488.4241000000002</v>
      </c>
      <c r="H314" s="82"/>
    </row>
    <row r="315" spans="1:8" x14ac:dyDescent="0.25">
      <c r="A315" s="1" t="s">
        <v>476</v>
      </c>
      <c r="B315" s="2" t="s">
        <v>89</v>
      </c>
      <c r="C315" s="2" t="s">
        <v>477</v>
      </c>
      <c r="D315" s="259" t="s">
        <v>478</v>
      </c>
      <c r="E315" s="259"/>
      <c r="F315" s="2" t="s">
        <v>313</v>
      </c>
      <c r="G315" s="37">
        <v>2</v>
      </c>
      <c r="H315" s="38">
        <v>0</v>
      </c>
    </row>
    <row r="316" spans="1:8" x14ac:dyDescent="0.25">
      <c r="A316" s="69"/>
      <c r="D316" s="80" t="s">
        <v>1318</v>
      </c>
      <c r="E316" s="361" t="s">
        <v>4</v>
      </c>
      <c r="F316" s="361"/>
      <c r="G316" s="81">
        <v>2</v>
      </c>
      <c r="H316" s="82"/>
    </row>
    <row r="317" spans="1:8" x14ac:dyDescent="0.25">
      <c r="A317" s="1" t="s">
        <v>481</v>
      </c>
      <c r="B317" s="2" t="s">
        <v>89</v>
      </c>
      <c r="C317" s="2" t="s">
        <v>482</v>
      </c>
      <c r="D317" s="259" t="s">
        <v>483</v>
      </c>
      <c r="E317" s="259"/>
      <c r="F317" s="2" t="s">
        <v>309</v>
      </c>
      <c r="G317" s="37">
        <v>0.29718</v>
      </c>
      <c r="H317" s="38">
        <v>0</v>
      </c>
    </row>
    <row r="318" spans="1:8" x14ac:dyDescent="0.25">
      <c r="A318" s="69"/>
      <c r="D318" s="80" t="s">
        <v>221</v>
      </c>
      <c r="E318" s="361" t="s">
        <v>4</v>
      </c>
      <c r="F318" s="361"/>
      <c r="G318" s="81">
        <v>2</v>
      </c>
      <c r="H318" s="82"/>
    </row>
    <row r="319" spans="1:8" x14ac:dyDescent="0.25">
      <c r="A319" s="1" t="s">
        <v>484</v>
      </c>
      <c r="B319" s="2" t="s">
        <v>89</v>
      </c>
      <c r="C319" s="2" t="s">
        <v>485</v>
      </c>
      <c r="D319" s="259" t="s">
        <v>486</v>
      </c>
      <c r="E319" s="259"/>
      <c r="F319" s="2" t="s">
        <v>313</v>
      </c>
      <c r="G319" s="37">
        <v>1</v>
      </c>
      <c r="H319" s="38">
        <v>0</v>
      </c>
    </row>
    <row r="320" spans="1:8" x14ac:dyDescent="0.25">
      <c r="A320" s="69"/>
      <c r="D320" s="80" t="s">
        <v>1319</v>
      </c>
      <c r="E320" s="361" t="s">
        <v>4</v>
      </c>
      <c r="F320" s="361"/>
      <c r="G320" s="81">
        <v>1</v>
      </c>
      <c r="H320" s="82"/>
    </row>
    <row r="321" spans="1:8" x14ac:dyDescent="0.25">
      <c r="A321" s="1" t="s">
        <v>487</v>
      </c>
      <c r="B321" s="2" t="s">
        <v>89</v>
      </c>
      <c r="C321" s="2" t="s">
        <v>488</v>
      </c>
      <c r="D321" s="259" t="s">
        <v>489</v>
      </c>
      <c r="E321" s="259"/>
      <c r="F321" s="2" t="s">
        <v>313</v>
      </c>
      <c r="G321" s="37">
        <v>2</v>
      </c>
      <c r="H321" s="38">
        <v>0</v>
      </c>
    </row>
    <row r="322" spans="1:8" x14ac:dyDescent="0.25">
      <c r="A322" s="69"/>
      <c r="D322" s="80" t="s">
        <v>221</v>
      </c>
      <c r="E322" s="361" t="s">
        <v>4</v>
      </c>
      <c r="F322" s="361"/>
      <c r="G322" s="81">
        <v>2</v>
      </c>
      <c r="H322" s="82"/>
    </row>
    <row r="323" spans="1:8" x14ac:dyDescent="0.25">
      <c r="A323" s="1" t="s">
        <v>490</v>
      </c>
      <c r="B323" s="2" t="s">
        <v>89</v>
      </c>
      <c r="C323" s="2" t="s">
        <v>491</v>
      </c>
      <c r="D323" s="259" t="s">
        <v>492</v>
      </c>
      <c r="E323" s="259"/>
      <c r="F323" s="2" t="s">
        <v>63</v>
      </c>
      <c r="G323" s="37">
        <v>43.876300000000001</v>
      </c>
      <c r="H323" s="38">
        <v>0</v>
      </c>
    </row>
    <row r="324" spans="1:8" x14ac:dyDescent="0.25">
      <c r="A324" s="69"/>
      <c r="D324" s="80" t="s">
        <v>1320</v>
      </c>
      <c r="E324" s="361" t="s">
        <v>4</v>
      </c>
      <c r="F324" s="361"/>
      <c r="G324" s="81">
        <v>43.876300000000001</v>
      </c>
      <c r="H324" s="82"/>
    </row>
    <row r="325" spans="1:8" x14ac:dyDescent="0.25">
      <c r="A325" s="1" t="s">
        <v>493</v>
      </c>
      <c r="B325" s="2" t="s">
        <v>89</v>
      </c>
      <c r="C325" s="2" t="s">
        <v>494</v>
      </c>
      <c r="D325" s="259" t="s">
        <v>495</v>
      </c>
      <c r="E325" s="259"/>
      <c r="F325" s="2" t="s">
        <v>313</v>
      </c>
      <c r="G325" s="37">
        <v>6</v>
      </c>
      <c r="H325" s="38">
        <v>0</v>
      </c>
    </row>
    <row r="326" spans="1:8" x14ac:dyDescent="0.25">
      <c r="A326" s="69"/>
      <c r="D326" s="80" t="s">
        <v>1321</v>
      </c>
      <c r="E326" s="361" t="s">
        <v>4</v>
      </c>
      <c r="F326" s="361"/>
      <c r="G326" s="81">
        <v>6</v>
      </c>
      <c r="H326" s="82"/>
    </row>
    <row r="327" spans="1:8" x14ac:dyDescent="0.25">
      <c r="A327" s="1" t="s">
        <v>497</v>
      </c>
      <c r="B327" s="2" t="s">
        <v>89</v>
      </c>
      <c r="C327" s="2" t="s">
        <v>498</v>
      </c>
      <c r="D327" s="259" t="s">
        <v>499</v>
      </c>
      <c r="E327" s="259"/>
      <c r="F327" s="2" t="s">
        <v>313</v>
      </c>
      <c r="G327" s="37">
        <v>58.8</v>
      </c>
      <c r="H327" s="38">
        <v>0</v>
      </c>
    </row>
    <row r="328" spans="1:8" x14ac:dyDescent="0.25">
      <c r="A328" s="69"/>
      <c r="D328" s="80" t="s">
        <v>1322</v>
      </c>
      <c r="E328" s="361" t="s">
        <v>4</v>
      </c>
      <c r="F328" s="361"/>
      <c r="G328" s="81">
        <v>58.8</v>
      </c>
      <c r="H328" s="82"/>
    </row>
    <row r="329" spans="1:8" x14ac:dyDescent="0.25">
      <c r="A329" s="1" t="s">
        <v>163</v>
      </c>
      <c r="B329" s="2" t="s">
        <v>89</v>
      </c>
      <c r="C329" s="2" t="s">
        <v>500</v>
      </c>
      <c r="D329" s="259" t="s">
        <v>501</v>
      </c>
      <c r="E329" s="259"/>
      <c r="F329" s="2" t="s">
        <v>309</v>
      </c>
      <c r="G329" s="37">
        <v>3</v>
      </c>
      <c r="H329" s="38">
        <v>0</v>
      </c>
    </row>
    <row r="330" spans="1:8" x14ac:dyDescent="0.25">
      <c r="A330" s="69"/>
      <c r="D330" s="80" t="s">
        <v>224</v>
      </c>
      <c r="E330" s="361" t="s">
        <v>4</v>
      </c>
      <c r="F330" s="361"/>
      <c r="G330" s="81">
        <v>3</v>
      </c>
      <c r="H330" s="82"/>
    </row>
    <row r="331" spans="1:8" x14ac:dyDescent="0.25">
      <c r="A331" s="1" t="s">
        <v>165</v>
      </c>
      <c r="B331" s="2" t="s">
        <v>89</v>
      </c>
      <c r="C331" s="2" t="s">
        <v>502</v>
      </c>
      <c r="D331" s="259" t="s">
        <v>503</v>
      </c>
      <c r="E331" s="259"/>
      <c r="F331" s="2" t="s">
        <v>504</v>
      </c>
      <c r="G331" s="37">
        <v>3</v>
      </c>
      <c r="H331" s="38">
        <v>0</v>
      </c>
    </row>
    <row r="332" spans="1:8" x14ac:dyDescent="0.25">
      <c r="A332" s="69"/>
      <c r="D332" s="80" t="s">
        <v>224</v>
      </c>
      <c r="E332" s="361" t="s">
        <v>4</v>
      </c>
      <c r="F332" s="361"/>
      <c r="G332" s="81">
        <v>3</v>
      </c>
      <c r="H332" s="82"/>
    </row>
    <row r="333" spans="1:8" x14ac:dyDescent="0.25">
      <c r="A333" s="1" t="s">
        <v>505</v>
      </c>
      <c r="B333" s="2" t="s">
        <v>89</v>
      </c>
      <c r="C333" s="2" t="s">
        <v>506</v>
      </c>
      <c r="D333" s="259" t="s">
        <v>507</v>
      </c>
      <c r="E333" s="259"/>
      <c r="F333" s="2" t="s">
        <v>309</v>
      </c>
      <c r="G333" s="37">
        <v>9</v>
      </c>
      <c r="H333" s="38">
        <v>0</v>
      </c>
    </row>
    <row r="334" spans="1:8" x14ac:dyDescent="0.25">
      <c r="A334" s="69"/>
      <c r="D334" s="80" t="s">
        <v>224</v>
      </c>
      <c r="E334" s="361" t="s">
        <v>4</v>
      </c>
      <c r="F334" s="361"/>
      <c r="G334" s="81">
        <v>3</v>
      </c>
      <c r="H334" s="82"/>
    </row>
    <row r="335" spans="1:8" x14ac:dyDescent="0.25">
      <c r="A335" s="1" t="s">
        <v>508</v>
      </c>
      <c r="B335" s="2" t="s">
        <v>89</v>
      </c>
      <c r="C335" s="2" t="s">
        <v>509</v>
      </c>
      <c r="D335" s="259" t="s">
        <v>510</v>
      </c>
      <c r="E335" s="259"/>
      <c r="F335" s="2" t="s">
        <v>313</v>
      </c>
      <c r="G335" s="37">
        <v>6</v>
      </c>
      <c r="H335" s="38">
        <v>0</v>
      </c>
    </row>
    <row r="336" spans="1:8" x14ac:dyDescent="0.25">
      <c r="A336" s="69"/>
      <c r="D336" s="80" t="s">
        <v>234</v>
      </c>
      <c r="E336" s="361" t="s">
        <v>4</v>
      </c>
      <c r="F336" s="361"/>
      <c r="G336" s="81">
        <v>6</v>
      </c>
      <c r="H336" s="82"/>
    </row>
    <row r="337" spans="1:8" x14ac:dyDescent="0.25">
      <c r="A337" s="1" t="s">
        <v>167</v>
      </c>
      <c r="B337" s="2" t="s">
        <v>89</v>
      </c>
      <c r="C337" s="2" t="s">
        <v>511</v>
      </c>
      <c r="D337" s="259" t="s">
        <v>512</v>
      </c>
      <c r="E337" s="259"/>
      <c r="F337" s="2" t="s">
        <v>313</v>
      </c>
      <c r="G337" s="37">
        <v>58.8</v>
      </c>
      <c r="H337" s="38">
        <v>0</v>
      </c>
    </row>
    <row r="338" spans="1:8" x14ac:dyDescent="0.25">
      <c r="A338" s="69"/>
      <c r="D338" s="80" t="s">
        <v>1323</v>
      </c>
      <c r="E338" s="361" t="s">
        <v>4</v>
      </c>
      <c r="F338" s="361"/>
      <c r="G338" s="81">
        <v>58.8</v>
      </c>
      <c r="H338" s="82"/>
    </row>
    <row r="339" spans="1:8" x14ac:dyDescent="0.25">
      <c r="A339" s="1" t="s">
        <v>169</v>
      </c>
      <c r="B339" s="2" t="s">
        <v>89</v>
      </c>
      <c r="C339" s="2" t="s">
        <v>513</v>
      </c>
      <c r="D339" s="259" t="s">
        <v>514</v>
      </c>
      <c r="E339" s="259"/>
      <c r="F339" s="2" t="s">
        <v>313</v>
      </c>
      <c r="G339" s="37">
        <v>64.8</v>
      </c>
      <c r="H339" s="38">
        <v>0</v>
      </c>
    </row>
    <row r="340" spans="1:8" x14ac:dyDescent="0.25">
      <c r="A340" s="69"/>
      <c r="D340" s="80" t="s">
        <v>1324</v>
      </c>
      <c r="E340" s="361" t="s">
        <v>4</v>
      </c>
      <c r="F340" s="361"/>
      <c r="G340" s="81">
        <v>64.8</v>
      </c>
      <c r="H340" s="82"/>
    </row>
    <row r="341" spans="1:8" x14ac:dyDescent="0.25">
      <c r="A341" s="1" t="s">
        <v>171</v>
      </c>
      <c r="B341" s="2" t="s">
        <v>89</v>
      </c>
      <c r="C341" s="2" t="s">
        <v>515</v>
      </c>
      <c r="D341" s="259" t="s">
        <v>516</v>
      </c>
      <c r="E341" s="259"/>
      <c r="F341" s="2" t="s">
        <v>504</v>
      </c>
      <c r="G341" s="37">
        <v>1</v>
      </c>
      <c r="H341" s="38">
        <v>0</v>
      </c>
    </row>
    <row r="342" spans="1:8" x14ac:dyDescent="0.25">
      <c r="A342" s="69"/>
      <c r="D342" s="80" t="s">
        <v>213</v>
      </c>
      <c r="E342" s="361" t="s">
        <v>4</v>
      </c>
      <c r="F342" s="361"/>
      <c r="G342" s="81">
        <v>1</v>
      </c>
      <c r="H342" s="82"/>
    </row>
    <row r="343" spans="1:8" x14ac:dyDescent="0.25">
      <c r="A343" s="1" t="s">
        <v>517</v>
      </c>
      <c r="B343" s="2" t="s">
        <v>89</v>
      </c>
      <c r="C343" s="2" t="s">
        <v>518</v>
      </c>
      <c r="D343" s="259" t="s">
        <v>519</v>
      </c>
      <c r="E343" s="259"/>
      <c r="F343" s="2" t="s">
        <v>504</v>
      </c>
      <c r="G343" s="37">
        <v>1</v>
      </c>
      <c r="H343" s="38">
        <v>0</v>
      </c>
    </row>
    <row r="344" spans="1:8" x14ac:dyDescent="0.25">
      <c r="A344" s="69"/>
      <c r="D344" s="80" t="s">
        <v>213</v>
      </c>
      <c r="E344" s="361" t="s">
        <v>4</v>
      </c>
      <c r="F344" s="361"/>
      <c r="G344" s="81">
        <v>1</v>
      </c>
      <c r="H344" s="82"/>
    </row>
    <row r="345" spans="1:8" x14ac:dyDescent="0.25">
      <c r="A345" s="1" t="s">
        <v>520</v>
      </c>
      <c r="B345" s="2" t="s">
        <v>89</v>
      </c>
      <c r="C345" s="2" t="s">
        <v>521</v>
      </c>
      <c r="D345" s="259" t="s">
        <v>522</v>
      </c>
      <c r="E345" s="259"/>
      <c r="F345" s="2" t="s">
        <v>63</v>
      </c>
      <c r="G345" s="37">
        <v>1079.0769</v>
      </c>
      <c r="H345" s="38">
        <v>0</v>
      </c>
    </row>
    <row r="346" spans="1:8" x14ac:dyDescent="0.25">
      <c r="A346" s="69"/>
      <c r="D346" s="80" t="s">
        <v>1325</v>
      </c>
      <c r="E346" s="361" t="s">
        <v>4</v>
      </c>
      <c r="F346" s="361"/>
      <c r="G346" s="81">
        <v>1079.0769</v>
      </c>
      <c r="H346" s="82"/>
    </row>
    <row r="347" spans="1:8" x14ac:dyDescent="0.25">
      <c r="A347" s="1" t="s">
        <v>523</v>
      </c>
      <c r="B347" s="2" t="s">
        <v>89</v>
      </c>
      <c r="C347" s="2" t="s">
        <v>524</v>
      </c>
      <c r="D347" s="259" t="s">
        <v>525</v>
      </c>
      <c r="E347" s="259"/>
      <c r="F347" s="2" t="s">
        <v>504</v>
      </c>
      <c r="G347" s="37">
        <v>1</v>
      </c>
      <c r="H347" s="38">
        <v>0</v>
      </c>
    </row>
    <row r="348" spans="1:8" x14ac:dyDescent="0.25">
      <c r="A348" s="69"/>
      <c r="D348" s="80" t="s">
        <v>213</v>
      </c>
      <c r="E348" s="361" t="s">
        <v>4</v>
      </c>
      <c r="F348" s="361"/>
      <c r="G348" s="81">
        <v>1</v>
      </c>
      <c r="H348" s="82"/>
    </row>
    <row r="349" spans="1:8" x14ac:dyDescent="0.25">
      <c r="A349" s="1" t="s">
        <v>527</v>
      </c>
      <c r="B349" s="2" t="s">
        <v>89</v>
      </c>
      <c r="C349" s="2" t="s">
        <v>528</v>
      </c>
      <c r="D349" s="259" t="s">
        <v>529</v>
      </c>
      <c r="E349" s="259"/>
      <c r="F349" s="2" t="s">
        <v>504</v>
      </c>
      <c r="G349" s="37">
        <v>1</v>
      </c>
      <c r="H349" s="38">
        <v>0</v>
      </c>
    </row>
    <row r="350" spans="1:8" x14ac:dyDescent="0.25">
      <c r="A350" s="69"/>
      <c r="D350" s="80" t="s">
        <v>213</v>
      </c>
      <c r="E350" s="361" t="s">
        <v>4</v>
      </c>
      <c r="F350" s="361"/>
      <c r="G350" s="81">
        <v>1</v>
      </c>
      <c r="H350" s="82"/>
    </row>
    <row r="351" spans="1:8" x14ac:dyDescent="0.25">
      <c r="A351" s="1" t="s">
        <v>530</v>
      </c>
      <c r="B351" s="2" t="s">
        <v>89</v>
      </c>
      <c r="C351" s="2" t="s">
        <v>531</v>
      </c>
      <c r="D351" s="259" t="s">
        <v>532</v>
      </c>
      <c r="E351" s="259"/>
      <c r="F351" s="2" t="s">
        <v>309</v>
      </c>
      <c r="G351" s="37">
        <v>1</v>
      </c>
      <c r="H351" s="38">
        <v>0</v>
      </c>
    </row>
    <row r="352" spans="1:8" x14ac:dyDescent="0.25">
      <c r="A352" s="69"/>
      <c r="D352" s="80" t="s">
        <v>213</v>
      </c>
      <c r="E352" s="361" t="s">
        <v>4</v>
      </c>
      <c r="F352" s="361"/>
      <c r="G352" s="81">
        <v>1</v>
      </c>
      <c r="H352" s="82"/>
    </row>
    <row r="353" spans="1:8" x14ac:dyDescent="0.25">
      <c r="A353" s="1" t="s">
        <v>533</v>
      </c>
      <c r="B353" s="2" t="s">
        <v>89</v>
      </c>
      <c r="C353" s="2" t="s">
        <v>534</v>
      </c>
      <c r="D353" s="259" t="s">
        <v>535</v>
      </c>
      <c r="E353" s="259"/>
      <c r="F353" s="2" t="s">
        <v>504</v>
      </c>
      <c r="G353" s="37">
        <v>1</v>
      </c>
      <c r="H353" s="38">
        <v>0</v>
      </c>
    </row>
    <row r="354" spans="1:8" x14ac:dyDescent="0.25">
      <c r="A354" s="69"/>
      <c r="D354" s="80" t="s">
        <v>213</v>
      </c>
      <c r="E354" s="361" t="s">
        <v>4</v>
      </c>
      <c r="F354" s="361"/>
      <c r="G354" s="81">
        <v>1</v>
      </c>
      <c r="H354" s="82"/>
    </row>
    <row r="355" spans="1:8" x14ac:dyDescent="0.25">
      <c r="A355" s="1" t="s">
        <v>536</v>
      </c>
      <c r="B355" s="2" t="s">
        <v>89</v>
      </c>
      <c r="C355" s="2" t="s">
        <v>537</v>
      </c>
      <c r="D355" s="259" t="s">
        <v>538</v>
      </c>
      <c r="E355" s="259"/>
      <c r="F355" s="2" t="s">
        <v>309</v>
      </c>
      <c r="G355" s="37">
        <v>1</v>
      </c>
      <c r="H355" s="38">
        <v>0</v>
      </c>
    </row>
    <row r="356" spans="1:8" x14ac:dyDescent="0.25">
      <c r="A356" s="69"/>
      <c r="D356" s="80" t="s">
        <v>213</v>
      </c>
      <c r="E356" s="361" t="s">
        <v>4</v>
      </c>
      <c r="F356" s="361"/>
      <c r="G356" s="81">
        <v>1</v>
      </c>
      <c r="H356" s="82"/>
    </row>
    <row r="357" spans="1:8" x14ac:dyDescent="0.25">
      <c r="A357" s="1" t="s">
        <v>539</v>
      </c>
      <c r="B357" s="2" t="s">
        <v>89</v>
      </c>
      <c r="C357" s="2" t="s">
        <v>540</v>
      </c>
      <c r="D357" s="259" t="s">
        <v>541</v>
      </c>
      <c r="E357" s="259"/>
      <c r="F357" s="2" t="s">
        <v>504</v>
      </c>
      <c r="G357" s="37">
        <v>1</v>
      </c>
      <c r="H357" s="38">
        <v>0</v>
      </c>
    </row>
    <row r="358" spans="1:8" x14ac:dyDescent="0.25">
      <c r="A358" s="69"/>
      <c r="D358" s="80" t="s">
        <v>213</v>
      </c>
      <c r="E358" s="361" t="s">
        <v>4</v>
      </c>
      <c r="F358" s="361"/>
      <c r="G358" s="81">
        <v>1</v>
      </c>
      <c r="H358" s="82"/>
    </row>
    <row r="359" spans="1:8" x14ac:dyDescent="0.25">
      <c r="A359" s="1" t="s">
        <v>542</v>
      </c>
      <c r="B359" s="2" t="s">
        <v>89</v>
      </c>
      <c r="C359" s="2" t="s">
        <v>543</v>
      </c>
      <c r="D359" s="259" t="s">
        <v>544</v>
      </c>
      <c r="E359" s="259"/>
      <c r="F359" s="2" t="s">
        <v>309</v>
      </c>
      <c r="G359" s="37">
        <v>1</v>
      </c>
      <c r="H359" s="38">
        <v>0</v>
      </c>
    </row>
    <row r="360" spans="1:8" x14ac:dyDescent="0.25">
      <c r="A360" s="69"/>
      <c r="D360" s="80" t="s">
        <v>213</v>
      </c>
      <c r="E360" s="361" t="s">
        <v>4</v>
      </c>
      <c r="F360" s="361"/>
      <c r="G360" s="81">
        <v>1</v>
      </c>
      <c r="H360" s="82"/>
    </row>
    <row r="361" spans="1:8" x14ac:dyDescent="0.25">
      <c r="A361" s="1" t="s">
        <v>545</v>
      </c>
      <c r="B361" s="2" t="s">
        <v>89</v>
      </c>
      <c r="C361" s="2" t="s">
        <v>546</v>
      </c>
      <c r="D361" s="259" t="s">
        <v>547</v>
      </c>
      <c r="E361" s="259"/>
      <c r="F361" s="2" t="s">
        <v>504</v>
      </c>
      <c r="G361" s="37">
        <v>1</v>
      </c>
      <c r="H361" s="38">
        <v>0</v>
      </c>
    </row>
    <row r="362" spans="1:8" x14ac:dyDescent="0.25">
      <c r="A362" s="69"/>
      <c r="D362" s="80" t="s">
        <v>213</v>
      </c>
      <c r="E362" s="361" t="s">
        <v>4</v>
      </c>
      <c r="F362" s="361"/>
      <c r="G362" s="81">
        <v>1</v>
      </c>
      <c r="H362" s="82"/>
    </row>
    <row r="363" spans="1:8" x14ac:dyDescent="0.25">
      <c r="A363" s="1" t="s">
        <v>548</v>
      </c>
      <c r="B363" s="2" t="s">
        <v>89</v>
      </c>
      <c r="C363" s="2" t="s">
        <v>549</v>
      </c>
      <c r="D363" s="259" t="s">
        <v>550</v>
      </c>
      <c r="E363" s="259"/>
      <c r="F363" s="2" t="s">
        <v>309</v>
      </c>
      <c r="G363" s="37">
        <v>1</v>
      </c>
      <c r="H363" s="38">
        <v>0</v>
      </c>
    </row>
    <row r="364" spans="1:8" x14ac:dyDescent="0.25">
      <c r="A364" s="69"/>
      <c r="D364" s="80" t="s">
        <v>213</v>
      </c>
      <c r="E364" s="361" t="s">
        <v>4</v>
      </c>
      <c r="F364" s="361"/>
      <c r="G364" s="81">
        <v>1</v>
      </c>
      <c r="H364" s="82"/>
    </row>
    <row r="365" spans="1:8" x14ac:dyDescent="0.25">
      <c r="A365" s="1" t="s">
        <v>551</v>
      </c>
      <c r="B365" s="2" t="s">
        <v>89</v>
      </c>
      <c r="C365" s="2" t="s">
        <v>552</v>
      </c>
      <c r="D365" s="259" t="s">
        <v>553</v>
      </c>
      <c r="E365" s="259"/>
      <c r="F365" s="2" t="s">
        <v>504</v>
      </c>
      <c r="G365" s="37">
        <v>1</v>
      </c>
      <c r="H365" s="38">
        <v>0</v>
      </c>
    </row>
    <row r="366" spans="1:8" x14ac:dyDescent="0.25">
      <c r="A366" s="69"/>
      <c r="D366" s="80" t="s">
        <v>213</v>
      </c>
      <c r="E366" s="361" t="s">
        <v>4</v>
      </c>
      <c r="F366" s="361"/>
      <c r="G366" s="81">
        <v>1</v>
      </c>
      <c r="H366" s="82"/>
    </row>
    <row r="367" spans="1:8" x14ac:dyDescent="0.25">
      <c r="A367" s="1" t="s">
        <v>554</v>
      </c>
      <c r="B367" s="2" t="s">
        <v>89</v>
      </c>
      <c r="C367" s="2" t="s">
        <v>555</v>
      </c>
      <c r="D367" s="259" t="s">
        <v>556</v>
      </c>
      <c r="E367" s="259"/>
      <c r="F367" s="2" t="s">
        <v>309</v>
      </c>
      <c r="G367" s="37">
        <v>1</v>
      </c>
      <c r="H367" s="38">
        <v>0</v>
      </c>
    </row>
    <row r="368" spans="1:8" x14ac:dyDescent="0.25">
      <c r="A368" s="69"/>
      <c r="D368" s="80" t="s">
        <v>213</v>
      </c>
      <c r="E368" s="361" t="s">
        <v>4</v>
      </c>
      <c r="F368" s="361"/>
      <c r="G368" s="81">
        <v>1</v>
      </c>
      <c r="H368" s="82"/>
    </row>
    <row r="369" spans="1:8" x14ac:dyDescent="0.25">
      <c r="A369" s="1" t="s">
        <v>557</v>
      </c>
      <c r="B369" s="2" t="s">
        <v>89</v>
      </c>
      <c r="C369" s="2" t="s">
        <v>558</v>
      </c>
      <c r="D369" s="259" t="s">
        <v>559</v>
      </c>
      <c r="E369" s="259"/>
      <c r="F369" s="2" t="s">
        <v>504</v>
      </c>
      <c r="G369" s="37">
        <v>1</v>
      </c>
      <c r="H369" s="38">
        <v>0</v>
      </c>
    </row>
    <row r="370" spans="1:8" x14ac:dyDescent="0.25">
      <c r="A370" s="69"/>
      <c r="D370" s="80" t="s">
        <v>213</v>
      </c>
      <c r="E370" s="361" t="s">
        <v>4</v>
      </c>
      <c r="F370" s="361"/>
      <c r="G370" s="81">
        <v>1</v>
      </c>
      <c r="H370" s="82"/>
    </row>
    <row r="371" spans="1:8" x14ac:dyDescent="0.25">
      <c r="A371" s="1" t="s">
        <v>560</v>
      </c>
      <c r="B371" s="2" t="s">
        <v>89</v>
      </c>
      <c r="C371" s="2" t="s">
        <v>561</v>
      </c>
      <c r="D371" s="259" t="s">
        <v>562</v>
      </c>
      <c r="E371" s="259"/>
      <c r="F371" s="2" t="s">
        <v>309</v>
      </c>
      <c r="G371" s="37">
        <v>1</v>
      </c>
      <c r="H371" s="38">
        <v>0</v>
      </c>
    </row>
    <row r="372" spans="1:8" x14ac:dyDescent="0.25">
      <c r="A372" s="69"/>
      <c r="D372" s="80" t="s">
        <v>213</v>
      </c>
      <c r="E372" s="361" t="s">
        <v>4</v>
      </c>
      <c r="F372" s="361"/>
      <c r="G372" s="81">
        <v>1</v>
      </c>
      <c r="H372" s="82"/>
    </row>
    <row r="373" spans="1:8" x14ac:dyDescent="0.25">
      <c r="A373" s="1" t="s">
        <v>563</v>
      </c>
      <c r="B373" s="2" t="s">
        <v>89</v>
      </c>
      <c r="C373" s="2" t="s">
        <v>564</v>
      </c>
      <c r="D373" s="259" t="s">
        <v>565</v>
      </c>
      <c r="E373" s="259"/>
      <c r="F373" s="2" t="s">
        <v>504</v>
      </c>
      <c r="G373" s="37">
        <v>1</v>
      </c>
      <c r="H373" s="38">
        <v>0</v>
      </c>
    </row>
    <row r="374" spans="1:8" x14ac:dyDescent="0.25">
      <c r="A374" s="69"/>
      <c r="D374" s="80" t="s">
        <v>213</v>
      </c>
      <c r="E374" s="361" t="s">
        <v>4</v>
      </c>
      <c r="F374" s="361"/>
      <c r="G374" s="81">
        <v>1</v>
      </c>
      <c r="H374" s="82"/>
    </row>
    <row r="375" spans="1:8" x14ac:dyDescent="0.25">
      <c r="A375" s="1" t="s">
        <v>566</v>
      </c>
      <c r="B375" s="2" t="s">
        <v>89</v>
      </c>
      <c r="C375" s="2" t="s">
        <v>567</v>
      </c>
      <c r="D375" s="259" t="s">
        <v>568</v>
      </c>
      <c r="E375" s="259"/>
      <c r="F375" s="2" t="s">
        <v>309</v>
      </c>
      <c r="G375" s="37">
        <v>1</v>
      </c>
      <c r="H375" s="38">
        <v>0</v>
      </c>
    </row>
    <row r="376" spans="1:8" x14ac:dyDescent="0.25">
      <c r="A376" s="69"/>
      <c r="D376" s="80" t="s">
        <v>213</v>
      </c>
      <c r="E376" s="361" t="s">
        <v>4</v>
      </c>
      <c r="F376" s="361"/>
      <c r="G376" s="81">
        <v>1</v>
      </c>
      <c r="H376" s="82"/>
    </row>
    <row r="377" spans="1:8" x14ac:dyDescent="0.25">
      <c r="A377" s="1" t="s">
        <v>569</v>
      </c>
      <c r="B377" s="2" t="s">
        <v>89</v>
      </c>
      <c r="C377" s="2" t="s">
        <v>570</v>
      </c>
      <c r="D377" s="259" t="s">
        <v>571</v>
      </c>
      <c r="E377" s="259"/>
      <c r="F377" s="2" t="s">
        <v>63</v>
      </c>
      <c r="G377" s="37">
        <v>653.24990000000003</v>
      </c>
      <c r="H377" s="38">
        <v>0</v>
      </c>
    </row>
    <row r="378" spans="1:8" x14ac:dyDescent="0.25">
      <c r="A378" s="69"/>
      <c r="D378" s="80" t="s">
        <v>1326</v>
      </c>
      <c r="E378" s="361" t="s">
        <v>4</v>
      </c>
      <c r="F378" s="361"/>
      <c r="G378" s="81">
        <v>653.24990000000003</v>
      </c>
      <c r="H378" s="82"/>
    </row>
    <row r="379" spans="1:8" x14ac:dyDescent="0.25">
      <c r="A379" s="1" t="s">
        <v>572</v>
      </c>
      <c r="B379" s="2" t="s">
        <v>89</v>
      </c>
      <c r="C379" s="2" t="s">
        <v>573</v>
      </c>
      <c r="D379" s="259" t="s">
        <v>574</v>
      </c>
      <c r="E379" s="259"/>
      <c r="F379" s="2" t="s">
        <v>504</v>
      </c>
      <c r="G379" s="37">
        <v>1</v>
      </c>
      <c r="H379" s="38">
        <v>0</v>
      </c>
    </row>
    <row r="380" spans="1:8" x14ac:dyDescent="0.25">
      <c r="A380" s="69"/>
      <c r="D380" s="80" t="s">
        <v>213</v>
      </c>
      <c r="E380" s="361" t="s">
        <v>4</v>
      </c>
      <c r="F380" s="361"/>
      <c r="G380" s="81">
        <v>1</v>
      </c>
      <c r="H380" s="82"/>
    </row>
    <row r="381" spans="1:8" x14ac:dyDescent="0.25">
      <c r="A381" s="1" t="s">
        <v>576</v>
      </c>
      <c r="B381" s="2" t="s">
        <v>89</v>
      </c>
      <c r="C381" s="2" t="s">
        <v>577</v>
      </c>
      <c r="D381" s="259" t="s">
        <v>578</v>
      </c>
      <c r="E381" s="259"/>
      <c r="F381" s="2" t="s">
        <v>63</v>
      </c>
      <c r="G381" s="37">
        <v>92.250100000000003</v>
      </c>
      <c r="H381" s="38">
        <v>0</v>
      </c>
    </row>
    <row r="382" spans="1:8" x14ac:dyDescent="0.25">
      <c r="A382" s="69"/>
      <c r="D382" s="80" t="s">
        <v>1327</v>
      </c>
      <c r="E382" s="361" t="s">
        <v>4</v>
      </c>
      <c r="F382" s="361"/>
      <c r="G382" s="81">
        <v>92.250100000000003</v>
      </c>
      <c r="H382" s="82"/>
    </row>
    <row r="383" spans="1:8" x14ac:dyDescent="0.25">
      <c r="A383" s="1" t="s">
        <v>579</v>
      </c>
      <c r="B383" s="2" t="s">
        <v>89</v>
      </c>
      <c r="C383" s="2" t="s">
        <v>580</v>
      </c>
      <c r="D383" s="259" t="s">
        <v>581</v>
      </c>
      <c r="E383" s="259"/>
      <c r="F383" s="2" t="s">
        <v>504</v>
      </c>
      <c r="G383" s="37">
        <v>1</v>
      </c>
      <c r="H383" s="38">
        <v>0</v>
      </c>
    </row>
    <row r="384" spans="1:8" x14ac:dyDescent="0.25">
      <c r="A384" s="69"/>
      <c r="D384" s="80" t="s">
        <v>213</v>
      </c>
      <c r="E384" s="361" t="s">
        <v>4</v>
      </c>
      <c r="F384" s="361"/>
      <c r="G384" s="81">
        <v>1</v>
      </c>
      <c r="H384" s="82"/>
    </row>
    <row r="385" spans="1:8" ht="13.5" customHeight="1" x14ac:dyDescent="0.25">
      <c r="A385" s="69"/>
      <c r="C385" s="83" t="s">
        <v>57</v>
      </c>
      <c r="D385" s="346" t="s">
        <v>583</v>
      </c>
      <c r="E385" s="347"/>
      <c r="F385" s="347"/>
      <c r="G385" s="347"/>
      <c r="H385" s="82"/>
    </row>
    <row r="386" spans="1:8" x14ac:dyDescent="0.25">
      <c r="A386" s="1" t="s">
        <v>584</v>
      </c>
      <c r="B386" s="2" t="s">
        <v>89</v>
      </c>
      <c r="C386" s="2" t="s">
        <v>585</v>
      </c>
      <c r="D386" s="259" t="s">
        <v>586</v>
      </c>
      <c r="E386" s="259"/>
      <c r="F386" s="2" t="s">
        <v>504</v>
      </c>
      <c r="G386" s="37">
        <v>1</v>
      </c>
      <c r="H386" s="38">
        <v>0</v>
      </c>
    </row>
    <row r="387" spans="1:8" x14ac:dyDescent="0.25">
      <c r="A387" s="69"/>
      <c r="D387" s="80" t="s">
        <v>213</v>
      </c>
      <c r="E387" s="361" t="s">
        <v>4</v>
      </c>
      <c r="F387" s="361"/>
      <c r="G387" s="81">
        <v>1</v>
      </c>
      <c r="H387" s="82"/>
    </row>
    <row r="388" spans="1:8" x14ac:dyDescent="0.25">
      <c r="A388" s="1" t="s">
        <v>587</v>
      </c>
      <c r="B388" s="2" t="s">
        <v>89</v>
      </c>
      <c r="C388" s="2" t="s">
        <v>588</v>
      </c>
      <c r="D388" s="259" t="s">
        <v>589</v>
      </c>
      <c r="E388" s="259"/>
      <c r="F388" s="2" t="s">
        <v>309</v>
      </c>
      <c r="G388" s="37">
        <v>3</v>
      </c>
      <c r="H388" s="38">
        <v>0</v>
      </c>
    </row>
    <row r="389" spans="1:8" x14ac:dyDescent="0.25">
      <c r="A389" s="69"/>
      <c r="D389" s="80" t="s">
        <v>224</v>
      </c>
      <c r="E389" s="361" t="s">
        <v>4</v>
      </c>
      <c r="F389" s="361"/>
      <c r="G389" s="81">
        <v>3</v>
      </c>
      <c r="H389" s="82"/>
    </row>
    <row r="390" spans="1:8" x14ac:dyDescent="0.25">
      <c r="A390" s="1" t="s">
        <v>590</v>
      </c>
      <c r="B390" s="2" t="s">
        <v>89</v>
      </c>
      <c r="C390" s="2" t="s">
        <v>591</v>
      </c>
      <c r="D390" s="259" t="s">
        <v>592</v>
      </c>
      <c r="E390" s="259"/>
      <c r="F390" s="2" t="s">
        <v>504</v>
      </c>
      <c r="G390" s="37">
        <v>1</v>
      </c>
      <c r="H390" s="38">
        <v>0</v>
      </c>
    </row>
    <row r="391" spans="1:8" x14ac:dyDescent="0.25">
      <c r="A391" s="69"/>
      <c r="D391" s="80" t="s">
        <v>213</v>
      </c>
      <c r="E391" s="361" t="s">
        <v>4</v>
      </c>
      <c r="F391" s="361"/>
      <c r="G391" s="81">
        <v>1</v>
      </c>
      <c r="H391" s="82"/>
    </row>
    <row r="392" spans="1:8" x14ac:dyDescent="0.25">
      <c r="A392" s="1" t="s">
        <v>593</v>
      </c>
      <c r="B392" s="2" t="s">
        <v>89</v>
      </c>
      <c r="C392" s="2" t="s">
        <v>594</v>
      </c>
      <c r="D392" s="259" t="s">
        <v>595</v>
      </c>
      <c r="E392" s="259"/>
      <c r="F392" s="2" t="s">
        <v>504</v>
      </c>
      <c r="G392" s="37">
        <v>2</v>
      </c>
      <c r="H392" s="38">
        <v>0</v>
      </c>
    </row>
    <row r="393" spans="1:8" x14ac:dyDescent="0.25">
      <c r="A393" s="69"/>
      <c r="D393" s="80" t="s">
        <v>221</v>
      </c>
      <c r="E393" s="361" t="s">
        <v>4</v>
      </c>
      <c r="F393" s="361"/>
      <c r="G393" s="81">
        <v>2</v>
      </c>
      <c r="H393" s="82"/>
    </row>
    <row r="394" spans="1:8" x14ac:dyDescent="0.25">
      <c r="A394" s="1" t="s">
        <v>596</v>
      </c>
      <c r="B394" s="2" t="s">
        <v>89</v>
      </c>
      <c r="C394" s="2" t="s">
        <v>597</v>
      </c>
      <c r="D394" s="259" t="s">
        <v>598</v>
      </c>
      <c r="E394" s="259"/>
      <c r="F394" s="2" t="s">
        <v>309</v>
      </c>
      <c r="G394" s="37">
        <v>2</v>
      </c>
      <c r="H394" s="38">
        <v>0</v>
      </c>
    </row>
    <row r="395" spans="1:8" x14ac:dyDescent="0.25">
      <c r="A395" s="69"/>
      <c r="D395" s="80" t="s">
        <v>221</v>
      </c>
      <c r="E395" s="361" t="s">
        <v>4</v>
      </c>
      <c r="F395" s="361"/>
      <c r="G395" s="81">
        <v>2</v>
      </c>
      <c r="H395" s="82"/>
    </row>
    <row r="396" spans="1:8" x14ac:dyDescent="0.25">
      <c r="A396" s="1" t="s">
        <v>599</v>
      </c>
      <c r="B396" s="2" t="s">
        <v>89</v>
      </c>
      <c r="C396" s="2" t="s">
        <v>600</v>
      </c>
      <c r="D396" s="259" t="s">
        <v>601</v>
      </c>
      <c r="E396" s="259"/>
      <c r="F396" s="2" t="s">
        <v>309</v>
      </c>
      <c r="G396" s="37">
        <v>2</v>
      </c>
      <c r="H396" s="38">
        <v>0</v>
      </c>
    </row>
    <row r="397" spans="1:8" x14ac:dyDescent="0.25">
      <c r="A397" s="69"/>
      <c r="D397" s="80" t="s">
        <v>221</v>
      </c>
      <c r="E397" s="361" t="s">
        <v>4</v>
      </c>
      <c r="F397" s="361"/>
      <c r="G397" s="81">
        <v>2</v>
      </c>
      <c r="H397" s="82"/>
    </row>
    <row r="398" spans="1:8" x14ac:dyDescent="0.25">
      <c r="A398" s="1" t="s">
        <v>602</v>
      </c>
      <c r="B398" s="2" t="s">
        <v>89</v>
      </c>
      <c r="C398" s="2" t="s">
        <v>603</v>
      </c>
      <c r="D398" s="259" t="s">
        <v>604</v>
      </c>
      <c r="E398" s="259"/>
      <c r="F398" s="2" t="s">
        <v>504</v>
      </c>
      <c r="G398" s="37">
        <v>2</v>
      </c>
      <c r="H398" s="38">
        <v>0</v>
      </c>
    </row>
    <row r="399" spans="1:8" x14ac:dyDescent="0.25">
      <c r="A399" s="69"/>
      <c r="D399" s="80" t="s">
        <v>221</v>
      </c>
      <c r="E399" s="361" t="s">
        <v>4</v>
      </c>
      <c r="F399" s="361"/>
      <c r="G399" s="81">
        <v>2</v>
      </c>
      <c r="H399" s="82"/>
    </row>
    <row r="400" spans="1:8" x14ac:dyDescent="0.25">
      <c r="A400" s="1" t="s">
        <v>605</v>
      </c>
      <c r="B400" s="2" t="s">
        <v>89</v>
      </c>
      <c r="C400" s="2" t="s">
        <v>606</v>
      </c>
      <c r="D400" s="259" t="s">
        <v>607</v>
      </c>
      <c r="E400" s="259"/>
      <c r="F400" s="2" t="s">
        <v>504</v>
      </c>
      <c r="G400" s="37">
        <v>2</v>
      </c>
      <c r="H400" s="38">
        <v>0</v>
      </c>
    </row>
    <row r="401" spans="1:8" x14ac:dyDescent="0.25">
      <c r="A401" s="69"/>
      <c r="D401" s="80" t="s">
        <v>221</v>
      </c>
      <c r="E401" s="361" t="s">
        <v>4</v>
      </c>
      <c r="F401" s="361"/>
      <c r="G401" s="81">
        <v>2</v>
      </c>
      <c r="H401" s="82"/>
    </row>
    <row r="402" spans="1:8" x14ac:dyDescent="0.25">
      <c r="A402" s="1" t="s">
        <v>608</v>
      </c>
      <c r="B402" s="2" t="s">
        <v>89</v>
      </c>
      <c r="C402" s="2" t="s">
        <v>609</v>
      </c>
      <c r="D402" s="259" t="s">
        <v>610</v>
      </c>
      <c r="E402" s="259"/>
      <c r="F402" s="2" t="s">
        <v>313</v>
      </c>
      <c r="G402" s="37">
        <v>6</v>
      </c>
      <c r="H402" s="38">
        <v>0</v>
      </c>
    </row>
    <row r="403" spans="1:8" x14ac:dyDescent="0.25">
      <c r="A403" s="69"/>
      <c r="D403" s="80" t="s">
        <v>234</v>
      </c>
      <c r="E403" s="361" t="s">
        <v>4</v>
      </c>
      <c r="F403" s="361"/>
      <c r="G403" s="81">
        <v>6</v>
      </c>
      <c r="H403" s="82"/>
    </row>
    <row r="404" spans="1:8" x14ac:dyDescent="0.25">
      <c r="A404" s="1" t="s">
        <v>612</v>
      </c>
      <c r="B404" s="2" t="s">
        <v>89</v>
      </c>
      <c r="C404" s="2" t="s">
        <v>613</v>
      </c>
      <c r="D404" s="259" t="s">
        <v>614</v>
      </c>
      <c r="E404" s="259"/>
      <c r="F404" s="2" t="s">
        <v>313</v>
      </c>
      <c r="G404" s="37">
        <v>14</v>
      </c>
      <c r="H404" s="38">
        <v>0</v>
      </c>
    </row>
    <row r="405" spans="1:8" x14ac:dyDescent="0.25">
      <c r="A405" s="69"/>
      <c r="D405" s="80" t="s">
        <v>263</v>
      </c>
      <c r="E405" s="361" t="s">
        <v>4</v>
      </c>
      <c r="F405" s="361"/>
      <c r="G405" s="81">
        <v>14</v>
      </c>
      <c r="H405" s="82"/>
    </row>
    <row r="406" spans="1:8" x14ac:dyDescent="0.25">
      <c r="A406" s="1" t="s">
        <v>615</v>
      </c>
      <c r="B406" s="2" t="s">
        <v>89</v>
      </c>
      <c r="C406" s="2" t="s">
        <v>616</v>
      </c>
      <c r="D406" s="259" t="s">
        <v>617</v>
      </c>
      <c r="E406" s="259"/>
      <c r="F406" s="2" t="s">
        <v>313</v>
      </c>
      <c r="G406" s="37">
        <v>7</v>
      </c>
      <c r="H406" s="38">
        <v>0</v>
      </c>
    </row>
    <row r="407" spans="1:8" x14ac:dyDescent="0.25">
      <c r="A407" s="69"/>
      <c r="D407" s="80" t="s">
        <v>237</v>
      </c>
      <c r="E407" s="361" t="s">
        <v>4</v>
      </c>
      <c r="F407" s="361"/>
      <c r="G407" s="81">
        <v>7</v>
      </c>
      <c r="H407" s="82"/>
    </row>
    <row r="408" spans="1:8" x14ac:dyDescent="0.25">
      <c r="A408" s="1" t="s">
        <v>618</v>
      </c>
      <c r="B408" s="2" t="s">
        <v>89</v>
      </c>
      <c r="C408" s="2" t="s">
        <v>619</v>
      </c>
      <c r="D408" s="259" t="s">
        <v>620</v>
      </c>
      <c r="E408" s="259"/>
      <c r="F408" s="2" t="s">
        <v>251</v>
      </c>
      <c r="G408" s="37">
        <v>15</v>
      </c>
      <c r="H408" s="38">
        <v>0</v>
      </c>
    </row>
    <row r="409" spans="1:8" x14ac:dyDescent="0.25">
      <c r="A409" s="69"/>
      <c r="D409" s="80" t="s">
        <v>267</v>
      </c>
      <c r="E409" s="361" t="s">
        <v>4</v>
      </c>
      <c r="F409" s="361"/>
      <c r="G409" s="81">
        <v>15</v>
      </c>
      <c r="H409" s="82"/>
    </row>
    <row r="410" spans="1:8" x14ac:dyDescent="0.25">
      <c r="A410" s="1" t="s">
        <v>621</v>
      </c>
      <c r="B410" s="2" t="s">
        <v>89</v>
      </c>
      <c r="C410" s="2" t="s">
        <v>622</v>
      </c>
      <c r="D410" s="259" t="s">
        <v>623</v>
      </c>
      <c r="E410" s="259"/>
      <c r="F410" s="2" t="s">
        <v>624</v>
      </c>
      <c r="G410" s="37">
        <v>5</v>
      </c>
      <c r="H410" s="38">
        <v>0</v>
      </c>
    </row>
    <row r="411" spans="1:8" x14ac:dyDescent="0.25">
      <c r="A411" s="69"/>
      <c r="D411" s="80" t="s">
        <v>231</v>
      </c>
      <c r="E411" s="361" t="s">
        <v>4</v>
      </c>
      <c r="F411" s="361"/>
      <c r="G411" s="81">
        <v>5</v>
      </c>
      <c r="H411" s="82"/>
    </row>
    <row r="412" spans="1:8" x14ac:dyDescent="0.25">
      <c r="A412" s="1" t="s">
        <v>625</v>
      </c>
      <c r="B412" s="2" t="s">
        <v>89</v>
      </c>
      <c r="C412" s="2" t="s">
        <v>626</v>
      </c>
      <c r="D412" s="259" t="s">
        <v>627</v>
      </c>
      <c r="E412" s="259"/>
      <c r="F412" s="2" t="s">
        <v>63</v>
      </c>
      <c r="G412" s="37">
        <v>5</v>
      </c>
      <c r="H412" s="38">
        <v>0</v>
      </c>
    </row>
    <row r="413" spans="1:8" x14ac:dyDescent="0.25">
      <c r="A413" s="69"/>
      <c r="D413" s="80" t="s">
        <v>231</v>
      </c>
      <c r="E413" s="361" t="s">
        <v>4</v>
      </c>
      <c r="F413" s="361"/>
      <c r="G413" s="81">
        <v>5</v>
      </c>
      <c r="H413" s="82"/>
    </row>
    <row r="414" spans="1:8" x14ac:dyDescent="0.25">
      <c r="A414" s="1" t="s">
        <v>628</v>
      </c>
      <c r="B414" s="2" t="s">
        <v>89</v>
      </c>
      <c r="C414" s="2" t="s">
        <v>629</v>
      </c>
      <c r="D414" s="259" t="s">
        <v>630</v>
      </c>
      <c r="E414" s="259"/>
      <c r="F414" s="2" t="s">
        <v>63</v>
      </c>
      <c r="G414" s="37">
        <v>35</v>
      </c>
      <c r="H414" s="38">
        <v>0</v>
      </c>
    </row>
    <row r="415" spans="1:8" x14ac:dyDescent="0.25">
      <c r="A415" s="69"/>
      <c r="D415" s="80" t="s">
        <v>324</v>
      </c>
      <c r="E415" s="361" t="s">
        <v>4</v>
      </c>
      <c r="F415" s="361"/>
      <c r="G415" s="81">
        <v>35</v>
      </c>
      <c r="H415" s="82"/>
    </row>
    <row r="416" spans="1:8" x14ac:dyDescent="0.25">
      <c r="A416" s="1" t="s">
        <v>631</v>
      </c>
      <c r="B416" s="2" t="s">
        <v>89</v>
      </c>
      <c r="C416" s="2" t="s">
        <v>632</v>
      </c>
      <c r="D416" s="259" t="s">
        <v>633</v>
      </c>
      <c r="E416" s="259"/>
      <c r="F416" s="2" t="s">
        <v>63</v>
      </c>
      <c r="G416" s="37">
        <v>5</v>
      </c>
      <c r="H416" s="38">
        <v>0</v>
      </c>
    </row>
    <row r="417" spans="1:8" x14ac:dyDescent="0.25">
      <c r="A417" s="69"/>
      <c r="D417" s="80" t="s">
        <v>231</v>
      </c>
      <c r="E417" s="361" t="s">
        <v>4</v>
      </c>
      <c r="F417" s="361"/>
      <c r="G417" s="81">
        <v>5</v>
      </c>
      <c r="H417" s="82"/>
    </row>
    <row r="418" spans="1:8" x14ac:dyDescent="0.25">
      <c r="A418" s="1" t="s">
        <v>634</v>
      </c>
      <c r="B418" s="2" t="s">
        <v>89</v>
      </c>
      <c r="C418" s="2" t="s">
        <v>635</v>
      </c>
      <c r="D418" s="259" t="s">
        <v>636</v>
      </c>
      <c r="E418" s="259"/>
      <c r="F418" s="2" t="s">
        <v>637</v>
      </c>
      <c r="G418" s="37">
        <v>2</v>
      </c>
      <c r="H418" s="38">
        <v>0</v>
      </c>
    </row>
    <row r="419" spans="1:8" x14ac:dyDescent="0.25">
      <c r="A419" s="69"/>
      <c r="D419" s="80" t="s">
        <v>221</v>
      </c>
      <c r="E419" s="361" t="s">
        <v>4</v>
      </c>
      <c r="F419" s="361"/>
      <c r="G419" s="81">
        <v>2</v>
      </c>
      <c r="H419" s="82"/>
    </row>
    <row r="420" spans="1:8" x14ac:dyDescent="0.25">
      <c r="A420" s="1" t="s">
        <v>638</v>
      </c>
      <c r="B420" s="2" t="s">
        <v>89</v>
      </c>
      <c r="C420" s="2" t="s">
        <v>639</v>
      </c>
      <c r="D420" s="259" t="s">
        <v>640</v>
      </c>
      <c r="E420" s="259"/>
      <c r="F420" s="2" t="s">
        <v>637</v>
      </c>
      <c r="G420" s="37">
        <v>0.5</v>
      </c>
      <c r="H420" s="38">
        <v>0</v>
      </c>
    </row>
    <row r="421" spans="1:8" x14ac:dyDescent="0.25">
      <c r="A421" s="69"/>
      <c r="D421" s="80" t="s">
        <v>1328</v>
      </c>
      <c r="E421" s="361" t="s">
        <v>4</v>
      </c>
      <c r="F421" s="361"/>
      <c r="G421" s="81">
        <v>0.5</v>
      </c>
      <c r="H421" s="82"/>
    </row>
    <row r="422" spans="1:8" x14ac:dyDescent="0.25">
      <c r="A422" s="1" t="s">
        <v>641</v>
      </c>
      <c r="B422" s="2" t="s">
        <v>89</v>
      </c>
      <c r="C422" s="2" t="s">
        <v>642</v>
      </c>
      <c r="D422" s="259" t="s">
        <v>643</v>
      </c>
      <c r="E422" s="259"/>
      <c r="F422" s="2" t="s">
        <v>644</v>
      </c>
      <c r="G422" s="37">
        <v>1</v>
      </c>
      <c r="H422" s="38">
        <v>0</v>
      </c>
    </row>
    <row r="423" spans="1:8" x14ac:dyDescent="0.25">
      <c r="A423" s="69"/>
      <c r="D423" s="80" t="s">
        <v>213</v>
      </c>
      <c r="E423" s="361" t="s">
        <v>4</v>
      </c>
      <c r="F423" s="361"/>
      <c r="G423" s="81">
        <v>1</v>
      </c>
      <c r="H423" s="82"/>
    </row>
    <row r="424" spans="1:8" x14ac:dyDescent="0.25">
      <c r="A424" s="1" t="s">
        <v>647</v>
      </c>
      <c r="B424" s="2" t="s">
        <v>89</v>
      </c>
      <c r="C424" s="2" t="s">
        <v>648</v>
      </c>
      <c r="D424" s="259" t="s">
        <v>649</v>
      </c>
      <c r="E424" s="259"/>
      <c r="F424" s="2" t="s">
        <v>644</v>
      </c>
      <c r="G424" s="37">
        <v>1</v>
      </c>
      <c r="H424" s="38">
        <v>0</v>
      </c>
    </row>
    <row r="425" spans="1:8" x14ac:dyDescent="0.25">
      <c r="A425" s="69"/>
      <c r="D425" s="80" t="s">
        <v>213</v>
      </c>
      <c r="E425" s="361" t="s">
        <v>4</v>
      </c>
      <c r="F425" s="361"/>
      <c r="G425" s="81">
        <v>1</v>
      </c>
      <c r="H425" s="82"/>
    </row>
    <row r="426" spans="1:8" x14ac:dyDescent="0.25">
      <c r="A426" s="1" t="s">
        <v>650</v>
      </c>
      <c r="B426" s="2" t="s">
        <v>89</v>
      </c>
      <c r="C426" s="2" t="s">
        <v>651</v>
      </c>
      <c r="D426" s="259" t="s">
        <v>652</v>
      </c>
      <c r="E426" s="259"/>
      <c r="F426" s="2" t="s">
        <v>644</v>
      </c>
      <c r="G426" s="37">
        <v>1</v>
      </c>
      <c r="H426" s="38">
        <v>0</v>
      </c>
    </row>
    <row r="427" spans="1:8" x14ac:dyDescent="0.25">
      <c r="A427" s="69"/>
      <c r="D427" s="80" t="s">
        <v>213</v>
      </c>
      <c r="E427" s="361" t="s">
        <v>4</v>
      </c>
      <c r="F427" s="361"/>
      <c r="G427" s="81">
        <v>1</v>
      </c>
      <c r="H427" s="82"/>
    </row>
    <row r="428" spans="1:8" x14ac:dyDescent="0.25">
      <c r="A428" s="1" t="s">
        <v>653</v>
      </c>
      <c r="B428" s="2" t="s">
        <v>89</v>
      </c>
      <c r="C428" s="2" t="s">
        <v>654</v>
      </c>
      <c r="D428" s="259" t="s">
        <v>655</v>
      </c>
      <c r="E428" s="259"/>
      <c r="F428" s="2" t="s">
        <v>63</v>
      </c>
      <c r="G428" s="37">
        <v>3046.94</v>
      </c>
      <c r="H428" s="38">
        <v>0</v>
      </c>
    </row>
    <row r="429" spans="1:8" x14ac:dyDescent="0.25">
      <c r="A429" s="69"/>
      <c r="D429" s="80" t="s">
        <v>1329</v>
      </c>
      <c r="E429" s="361" t="s">
        <v>4</v>
      </c>
      <c r="F429" s="361"/>
      <c r="G429" s="81">
        <v>3046.94</v>
      </c>
      <c r="H429" s="82"/>
    </row>
    <row r="430" spans="1:8" x14ac:dyDescent="0.25">
      <c r="A430" s="1" t="s">
        <v>656</v>
      </c>
      <c r="B430" s="2" t="s">
        <v>89</v>
      </c>
      <c r="C430" s="2" t="s">
        <v>657</v>
      </c>
      <c r="D430" s="259" t="s">
        <v>658</v>
      </c>
      <c r="E430" s="259"/>
      <c r="F430" s="2" t="s">
        <v>313</v>
      </c>
      <c r="G430" s="37">
        <v>13.31</v>
      </c>
      <c r="H430" s="38">
        <v>0</v>
      </c>
    </row>
    <row r="431" spans="1:8" x14ac:dyDescent="0.25">
      <c r="A431" s="69"/>
      <c r="D431" s="80" t="s">
        <v>1330</v>
      </c>
      <c r="E431" s="361" t="s">
        <v>1331</v>
      </c>
      <c r="F431" s="361"/>
      <c r="G431" s="81">
        <v>3.19</v>
      </c>
      <c r="H431" s="82"/>
    </row>
    <row r="432" spans="1:8" x14ac:dyDescent="0.25">
      <c r="A432" s="1" t="s">
        <v>4</v>
      </c>
      <c r="B432" s="2" t="s">
        <v>4</v>
      </c>
      <c r="C432" s="2" t="s">
        <v>4</v>
      </c>
      <c r="D432" s="80" t="s">
        <v>1332</v>
      </c>
      <c r="E432" s="361" t="s">
        <v>1333</v>
      </c>
      <c r="F432" s="361"/>
      <c r="G432" s="81">
        <v>10.119999999999999</v>
      </c>
      <c r="H432" s="67" t="s">
        <v>4</v>
      </c>
    </row>
    <row r="433" spans="1:8" x14ac:dyDescent="0.25">
      <c r="A433" s="1" t="s">
        <v>661</v>
      </c>
      <c r="B433" s="2" t="s">
        <v>89</v>
      </c>
      <c r="C433" s="2" t="s">
        <v>662</v>
      </c>
      <c r="D433" s="259" t="s">
        <v>663</v>
      </c>
      <c r="E433" s="259"/>
      <c r="F433" s="2" t="s">
        <v>313</v>
      </c>
      <c r="G433" s="37">
        <v>3.19</v>
      </c>
      <c r="H433" s="38">
        <v>0</v>
      </c>
    </row>
    <row r="434" spans="1:8" x14ac:dyDescent="0.25">
      <c r="A434" s="69"/>
      <c r="D434" s="80" t="s">
        <v>1330</v>
      </c>
      <c r="E434" s="361" t="s">
        <v>1334</v>
      </c>
      <c r="F434" s="361"/>
      <c r="G434" s="81">
        <v>3.19</v>
      </c>
      <c r="H434" s="82"/>
    </row>
    <row r="435" spans="1:8" x14ac:dyDescent="0.25">
      <c r="A435" s="1" t="s">
        <v>664</v>
      </c>
      <c r="B435" s="2" t="s">
        <v>89</v>
      </c>
      <c r="C435" s="2" t="s">
        <v>665</v>
      </c>
      <c r="D435" s="259" t="s">
        <v>666</v>
      </c>
      <c r="E435" s="259"/>
      <c r="F435" s="2" t="s">
        <v>216</v>
      </c>
      <c r="G435" s="37">
        <v>0.17904</v>
      </c>
      <c r="H435" s="38">
        <v>0</v>
      </c>
    </row>
    <row r="436" spans="1:8" x14ac:dyDescent="0.25">
      <c r="A436" s="69"/>
      <c r="D436" s="80" t="s">
        <v>1335</v>
      </c>
      <c r="E436" s="361" t="s">
        <v>4</v>
      </c>
      <c r="F436" s="361"/>
      <c r="G436" s="81">
        <v>0.1331</v>
      </c>
      <c r="H436" s="82"/>
    </row>
    <row r="437" spans="1:8" x14ac:dyDescent="0.25">
      <c r="A437" s="1" t="s">
        <v>4</v>
      </c>
      <c r="B437" s="2" t="s">
        <v>4</v>
      </c>
      <c r="C437" s="2" t="s">
        <v>4</v>
      </c>
      <c r="D437" s="80" t="s">
        <v>1336</v>
      </c>
      <c r="E437" s="361" t="s">
        <v>4</v>
      </c>
      <c r="F437" s="361"/>
      <c r="G437" s="81">
        <v>4.5940000000000002E-2</v>
      </c>
      <c r="H437" s="67" t="s">
        <v>4</v>
      </c>
    </row>
    <row r="438" spans="1:8" x14ac:dyDescent="0.25">
      <c r="A438" s="1" t="s">
        <v>667</v>
      </c>
      <c r="B438" s="2" t="s">
        <v>89</v>
      </c>
      <c r="C438" s="2" t="s">
        <v>668</v>
      </c>
      <c r="D438" s="259" t="s">
        <v>669</v>
      </c>
      <c r="E438" s="259"/>
      <c r="F438" s="2" t="s">
        <v>251</v>
      </c>
      <c r="G438" s="37">
        <v>7.4290000000000003</v>
      </c>
      <c r="H438" s="38">
        <v>0</v>
      </c>
    </row>
    <row r="439" spans="1:8" x14ac:dyDescent="0.25">
      <c r="A439" s="69"/>
      <c r="D439" s="80" t="s">
        <v>1337</v>
      </c>
      <c r="E439" s="361" t="s">
        <v>4</v>
      </c>
      <c r="F439" s="361"/>
      <c r="G439" s="81">
        <v>7.4290000000000003</v>
      </c>
      <c r="H439" s="82"/>
    </row>
    <row r="440" spans="1:8" x14ac:dyDescent="0.25">
      <c r="A440" s="1" t="s">
        <v>670</v>
      </c>
      <c r="B440" s="2" t="s">
        <v>89</v>
      </c>
      <c r="C440" s="2" t="s">
        <v>665</v>
      </c>
      <c r="D440" s="259" t="s">
        <v>666</v>
      </c>
      <c r="E440" s="259"/>
      <c r="F440" s="2" t="s">
        <v>216</v>
      </c>
      <c r="G440" s="37">
        <v>0.17904</v>
      </c>
      <c r="H440" s="38">
        <v>0</v>
      </c>
    </row>
    <row r="441" spans="1:8" x14ac:dyDescent="0.25">
      <c r="A441" s="69"/>
      <c r="D441" s="80" t="s">
        <v>1338</v>
      </c>
      <c r="E441" s="361" t="s">
        <v>4</v>
      </c>
      <c r="F441" s="361"/>
      <c r="G441" s="81">
        <v>0.1012</v>
      </c>
      <c r="H441" s="82"/>
    </row>
    <row r="442" spans="1:8" x14ac:dyDescent="0.25">
      <c r="A442" s="1" t="s">
        <v>4</v>
      </c>
      <c r="B442" s="2" t="s">
        <v>4</v>
      </c>
      <c r="C442" s="2" t="s">
        <v>4</v>
      </c>
      <c r="D442" s="80" t="s">
        <v>1339</v>
      </c>
      <c r="E442" s="361" t="s">
        <v>4</v>
      </c>
      <c r="F442" s="361"/>
      <c r="G442" s="81">
        <v>3.1899999999999998E-2</v>
      </c>
      <c r="H442" s="67" t="s">
        <v>4</v>
      </c>
    </row>
    <row r="443" spans="1:8" x14ac:dyDescent="0.25">
      <c r="A443" s="1" t="s">
        <v>4</v>
      </c>
      <c r="B443" s="2" t="s">
        <v>4</v>
      </c>
      <c r="C443" s="2" t="s">
        <v>4</v>
      </c>
      <c r="D443" s="80" t="s">
        <v>1340</v>
      </c>
      <c r="E443" s="361" t="s">
        <v>4</v>
      </c>
      <c r="F443" s="361"/>
      <c r="G443" s="81">
        <v>4.5940000000000002E-2</v>
      </c>
      <c r="H443" s="67" t="s">
        <v>4</v>
      </c>
    </row>
    <row r="444" spans="1:8" x14ac:dyDescent="0.25">
      <c r="A444" s="1" t="s">
        <v>671</v>
      </c>
      <c r="B444" s="2" t="s">
        <v>89</v>
      </c>
      <c r="C444" s="2" t="s">
        <v>672</v>
      </c>
      <c r="D444" s="259" t="s">
        <v>673</v>
      </c>
      <c r="E444" s="259"/>
      <c r="F444" s="2" t="s">
        <v>216</v>
      </c>
      <c r="G444" s="37">
        <v>0.17904</v>
      </c>
      <c r="H444" s="38">
        <v>0</v>
      </c>
    </row>
    <row r="445" spans="1:8" x14ac:dyDescent="0.25">
      <c r="A445" s="69"/>
      <c r="D445" s="80" t="s">
        <v>1338</v>
      </c>
      <c r="E445" s="361" t="s">
        <v>4</v>
      </c>
      <c r="F445" s="361"/>
      <c r="G445" s="81">
        <v>0.1012</v>
      </c>
      <c r="H445" s="82"/>
    </row>
    <row r="446" spans="1:8" x14ac:dyDescent="0.25">
      <c r="A446" s="1" t="s">
        <v>4</v>
      </c>
      <c r="B446" s="2" t="s">
        <v>4</v>
      </c>
      <c r="C446" s="2" t="s">
        <v>4</v>
      </c>
      <c r="D446" s="80" t="s">
        <v>1339</v>
      </c>
      <c r="E446" s="361" t="s">
        <v>4</v>
      </c>
      <c r="F446" s="361"/>
      <c r="G446" s="81">
        <v>3.1899999999999998E-2</v>
      </c>
      <c r="H446" s="67" t="s">
        <v>4</v>
      </c>
    </row>
    <row r="447" spans="1:8" x14ac:dyDescent="0.25">
      <c r="A447" s="1" t="s">
        <v>4</v>
      </c>
      <c r="B447" s="2" t="s">
        <v>4</v>
      </c>
      <c r="C447" s="2" t="s">
        <v>4</v>
      </c>
      <c r="D447" s="80" t="s">
        <v>1340</v>
      </c>
      <c r="E447" s="361" t="s">
        <v>4</v>
      </c>
      <c r="F447" s="361"/>
      <c r="G447" s="81">
        <v>4.5940000000000002E-2</v>
      </c>
      <c r="H447" s="67" t="s">
        <v>4</v>
      </c>
    </row>
    <row r="448" spans="1:8" x14ac:dyDescent="0.25">
      <c r="A448" s="1" t="s">
        <v>674</v>
      </c>
      <c r="B448" s="2" t="s">
        <v>89</v>
      </c>
      <c r="C448" s="2" t="s">
        <v>675</v>
      </c>
      <c r="D448" s="259" t="s">
        <v>676</v>
      </c>
      <c r="E448" s="259"/>
      <c r="F448" s="2" t="s">
        <v>63</v>
      </c>
      <c r="G448" s="37">
        <v>93.053299999999993</v>
      </c>
      <c r="H448" s="38">
        <v>0</v>
      </c>
    </row>
    <row r="449" spans="1:8" x14ac:dyDescent="0.25">
      <c r="A449" s="69"/>
      <c r="D449" s="80" t="s">
        <v>1341</v>
      </c>
      <c r="E449" s="361" t="s">
        <v>4</v>
      </c>
      <c r="F449" s="361"/>
      <c r="G449" s="81">
        <v>93.053299999999993</v>
      </c>
      <c r="H449" s="82"/>
    </row>
    <row r="450" spans="1:8" x14ac:dyDescent="0.25">
      <c r="A450" s="1" t="s">
        <v>677</v>
      </c>
      <c r="B450" s="2" t="s">
        <v>89</v>
      </c>
      <c r="C450" s="2" t="s">
        <v>678</v>
      </c>
      <c r="D450" s="259" t="s">
        <v>679</v>
      </c>
      <c r="E450" s="259"/>
      <c r="F450" s="2" t="s">
        <v>313</v>
      </c>
      <c r="G450" s="37">
        <v>26.9</v>
      </c>
      <c r="H450" s="38">
        <v>0</v>
      </c>
    </row>
    <row r="451" spans="1:8" x14ac:dyDescent="0.25">
      <c r="A451" s="69"/>
      <c r="D451" s="80" t="s">
        <v>1342</v>
      </c>
      <c r="E451" s="361" t="s">
        <v>4</v>
      </c>
      <c r="F451" s="361"/>
      <c r="G451" s="81">
        <v>4.2</v>
      </c>
      <c r="H451" s="82"/>
    </row>
    <row r="452" spans="1:8" x14ac:dyDescent="0.25">
      <c r="A452" s="1" t="s">
        <v>4</v>
      </c>
      <c r="B452" s="2" t="s">
        <v>4</v>
      </c>
      <c r="C452" s="2" t="s">
        <v>4</v>
      </c>
      <c r="D452" s="80" t="s">
        <v>1343</v>
      </c>
      <c r="E452" s="361" t="s">
        <v>4</v>
      </c>
      <c r="F452" s="361"/>
      <c r="G452" s="81">
        <v>5.8</v>
      </c>
      <c r="H452" s="67" t="s">
        <v>4</v>
      </c>
    </row>
    <row r="453" spans="1:8" x14ac:dyDescent="0.25">
      <c r="A453" s="1" t="s">
        <v>4</v>
      </c>
      <c r="B453" s="2" t="s">
        <v>4</v>
      </c>
      <c r="C453" s="2" t="s">
        <v>4</v>
      </c>
      <c r="D453" s="80" t="s">
        <v>1344</v>
      </c>
      <c r="E453" s="361" t="s">
        <v>4</v>
      </c>
      <c r="F453" s="361"/>
      <c r="G453" s="81">
        <v>1.8</v>
      </c>
      <c r="H453" s="67" t="s">
        <v>4</v>
      </c>
    </row>
    <row r="454" spans="1:8" x14ac:dyDescent="0.25">
      <c r="A454" s="1" t="s">
        <v>4</v>
      </c>
      <c r="B454" s="2" t="s">
        <v>4</v>
      </c>
      <c r="C454" s="2" t="s">
        <v>4</v>
      </c>
      <c r="D454" s="80" t="s">
        <v>1345</v>
      </c>
      <c r="E454" s="361" t="s">
        <v>4</v>
      </c>
      <c r="F454" s="361"/>
      <c r="G454" s="81">
        <v>1.5</v>
      </c>
      <c r="H454" s="67" t="s">
        <v>4</v>
      </c>
    </row>
    <row r="455" spans="1:8" x14ac:dyDescent="0.25">
      <c r="A455" s="1" t="s">
        <v>4</v>
      </c>
      <c r="B455" s="2" t="s">
        <v>4</v>
      </c>
      <c r="C455" s="2" t="s">
        <v>4</v>
      </c>
      <c r="D455" s="80" t="s">
        <v>1346</v>
      </c>
      <c r="E455" s="361" t="s">
        <v>4</v>
      </c>
      <c r="F455" s="361"/>
      <c r="G455" s="81">
        <v>6</v>
      </c>
      <c r="H455" s="67" t="s">
        <v>4</v>
      </c>
    </row>
    <row r="456" spans="1:8" x14ac:dyDescent="0.25">
      <c r="A456" s="1" t="s">
        <v>4</v>
      </c>
      <c r="B456" s="2" t="s">
        <v>4</v>
      </c>
      <c r="C456" s="2" t="s">
        <v>4</v>
      </c>
      <c r="D456" s="80" t="s">
        <v>1347</v>
      </c>
      <c r="E456" s="361" t="s">
        <v>4</v>
      </c>
      <c r="F456" s="361"/>
      <c r="G456" s="81">
        <v>1.1000000000000001</v>
      </c>
      <c r="H456" s="67" t="s">
        <v>4</v>
      </c>
    </row>
    <row r="457" spans="1:8" x14ac:dyDescent="0.25">
      <c r="A457" s="1" t="s">
        <v>4</v>
      </c>
      <c r="B457" s="2" t="s">
        <v>4</v>
      </c>
      <c r="C457" s="2" t="s">
        <v>4</v>
      </c>
      <c r="D457" s="80" t="s">
        <v>1348</v>
      </c>
      <c r="E457" s="361" t="s">
        <v>4</v>
      </c>
      <c r="F457" s="361"/>
      <c r="G457" s="81">
        <v>5</v>
      </c>
      <c r="H457" s="67" t="s">
        <v>4</v>
      </c>
    </row>
    <row r="458" spans="1:8" x14ac:dyDescent="0.25">
      <c r="A458" s="1" t="s">
        <v>4</v>
      </c>
      <c r="B458" s="2" t="s">
        <v>4</v>
      </c>
      <c r="C458" s="2" t="s">
        <v>4</v>
      </c>
      <c r="D458" s="80" t="s">
        <v>1349</v>
      </c>
      <c r="E458" s="361" t="s">
        <v>4</v>
      </c>
      <c r="F458" s="361"/>
      <c r="G458" s="81">
        <v>1.1000000000000001</v>
      </c>
      <c r="H458" s="67" t="s">
        <v>4</v>
      </c>
    </row>
    <row r="459" spans="1:8" x14ac:dyDescent="0.25">
      <c r="A459" s="1" t="s">
        <v>4</v>
      </c>
      <c r="B459" s="2" t="s">
        <v>4</v>
      </c>
      <c r="C459" s="2" t="s">
        <v>4</v>
      </c>
      <c r="D459" s="80" t="s">
        <v>1350</v>
      </c>
      <c r="E459" s="361" t="s">
        <v>4</v>
      </c>
      <c r="F459" s="361"/>
      <c r="G459" s="81">
        <v>0.4</v>
      </c>
      <c r="H459" s="67" t="s">
        <v>4</v>
      </c>
    </row>
    <row r="460" spans="1:8" x14ac:dyDescent="0.25">
      <c r="A460" s="1" t="s">
        <v>681</v>
      </c>
      <c r="B460" s="2" t="s">
        <v>89</v>
      </c>
      <c r="C460" s="2" t="s">
        <v>682</v>
      </c>
      <c r="D460" s="259" t="s">
        <v>683</v>
      </c>
      <c r="E460" s="259"/>
      <c r="F460" s="2" t="s">
        <v>313</v>
      </c>
      <c r="G460" s="37">
        <v>12.2</v>
      </c>
      <c r="H460" s="38">
        <v>0</v>
      </c>
    </row>
    <row r="461" spans="1:8" x14ac:dyDescent="0.25">
      <c r="A461" s="69"/>
      <c r="D461" s="80" t="s">
        <v>1351</v>
      </c>
      <c r="E461" s="361" t="s">
        <v>4</v>
      </c>
      <c r="F461" s="361"/>
      <c r="G461" s="81">
        <v>12.2</v>
      </c>
      <c r="H461" s="82"/>
    </row>
    <row r="462" spans="1:8" x14ac:dyDescent="0.25">
      <c r="A462" s="1" t="s">
        <v>684</v>
      </c>
      <c r="B462" s="2" t="s">
        <v>89</v>
      </c>
      <c r="C462" s="2" t="s">
        <v>685</v>
      </c>
      <c r="D462" s="259" t="s">
        <v>686</v>
      </c>
      <c r="E462" s="259"/>
      <c r="F462" s="2" t="s">
        <v>313</v>
      </c>
      <c r="G462" s="37">
        <v>4.3</v>
      </c>
      <c r="H462" s="38">
        <v>0</v>
      </c>
    </row>
    <row r="463" spans="1:8" x14ac:dyDescent="0.25">
      <c r="A463" s="69"/>
      <c r="D463" s="80" t="s">
        <v>1352</v>
      </c>
      <c r="E463" s="361" t="s">
        <v>4</v>
      </c>
      <c r="F463" s="361"/>
      <c r="G463" s="81">
        <v>4.3</v>
      </c>
      <c r="H463" s="82"/>
    </row>
    <row r="464" spans="1:8" x14ac:dyDescent="0.25">
      <c r="A464" s="1" t="s">
        <v>687</v>
      </c>
      <c r="B464" s="2" t="s">
        <v>89</v>
      </c>
      <c r="C464" s="2" t="s">
        <v>688</v>
      </c>
      <c r="D464" s="259" t="s">
        <v>689</v>
      </c>
      <c r="E464" s="259"/>
      <c r="F464" s="2" t="s">
        <v>313</v>
      </c>
      <c r="G464" s="37">
        <v>6.4</v>
      </c>
      <c r="H464" s="38">
        <v>0</v>
      </c>
    </row>
    <row r="465" spans="1:8" x14ac:dyDescent="0.25">
      <c r="A465" s="69"/>
      <c r="D465" s="80" t="s">
        <v>1353</v>
      </c>
      <c r="E465" s="361" t="s">
        <v>4</v>
      </c>
      <c r="F465" s="361"/>
      <c r="G465" s="81">
        <v>6.4</v>
      </c>
      <c r="H465" s="82"/>
    </row>
    <row r="466" spans="1:8" x14ac:dyDescent="0.25">
      <c r="A466" s="1" t="s">
        <v>690</v>
      </c>
      <c r="B466" s="2" t="s">
        <v>89</v>
      </c>
      <c r="C466" s="2" t="s">
        <v>691</v>
      </c>
      <c r="D466" s="259" t="s">
        <v>692</v>
      </c>
      <c r="E466" s="259"/>
      <c r="F466" s="2" t="s">
        <v>313</v>
      </c>
      <c r="G466" s="37">
        <v>4</v>
      </c>
      <c r="H466" s="38">
        <v>0</v>
      </c>
    </row>
    <row r="467" spans="1:8" x14ac:dyDescent="0.25">
      <c r="A467" s="69"/>
      <c r="D467" s="80" t="s">
        <v>1354</v>
      </c>
      <c r="E467" s="361" t="s">
        <v>4</v>
      </c>
      <c r="F467" s="361"/>
      <c r="G467" s="81">
        <v>4</v>
      </c>
      <c r="H467" s="82"/>
    </row>
    <row r="468" spans="1:8" x14ac:dyDescent="0.25">
      <c r="A468" s="1" t="s">
        <v>693</v>
      </c>
      <c r="B468" s="2" t="s">
        <v>89</v>
      </c>
      <c r="C468" s="2" t="s">
        <v>694</v>
      </c>
      <c r="D468" s="259" t="s">
        <v>695</v>
      </c>
      <c r="E468" s="259"/>
      <c r="F468" s="2" t="s">
        <v>313</v>
      </c>
      <c r="G468" s="37">
        <v>3.2</v>
      </c>
      <c r="H468" s="38">
        <v>0</v>
      </c>
    </row>
    <row r="469" spans="1:8" x14ac:dyDescent="0.25">
      <c r="A469" s="69"/>
      <c r="D469" s="80" t="s">
        <v>1355</v>
      </c>
      <c r="E469" s="361" t="s">
        <v>4</v>
      </c>
      <c r="F469" s="361"/>
      <c r="G469" s="81">
        <v>3.2</v>
      </c>
      <c r="H469" s="82"/>
    </row>
    <row r="470" spans="1:8" x14ac:dyDescent="0.25">
      <c r="A470" s="1" t="s">
        <v>696</v>
      </c>
      <c r="B470" s="2" t="s">
        <v>89</v>
      </c>
      <c r="C470" s="2" t="s">
        <v>697</v>
      </c>
      <c r="D470" s="259" t="s">
        <v>698</v>
      </c>
      <c r="E470" s="259"/>
      <c r="F470" s="2" t="s">
        <v>313</v>
      </c>
      <c r="G470" s="37">
        <v>6.3</v>
      </c>
      <c r="H470" s="38">
        <v>0</v>
      </c>
    </row>
    <row r="471" spans="1:8" x14ac:dyDescent="0.25">
      <c r="A471" s="69"/>
      <c r="D471" s="80" t="s">
        <v>1356</v>
      </c>
      <c r="E471" s="361" t="s">
        <v>4</v>
      </c>
      <c r="F471" s="361"/>
      <c r="G471" s="81">
        <v>6.3</v>
      </c>
      <c r="H471" s="82"/>
    </row>
    <row r="472" spans="1:8" x14ac:dyDescent="0.25">
      <c r="A472" s="1" t="s">
        <v>699</v>
      </c>
      <c r="B472" s="2" t="s">
        <v>89</v>
      </c>
      <c r="C472" s="2" t="s">
        <v>700</v>
      </c>
      <c r="D472" s="259" t="s">
        <v>701</v>
      </c>
      <c r="E472" s="259"/>
      <c r="F472" s="2" t="s">
        <v>309</v>
      </c>
      <c r="G472" s="37">
        <v>8</v>
      </c>
      <c r="H472" s="38">
        <v>0</v>
      </c>
    </row>
    <row r="473" spans="1:8" x14ac:dyDescent="0.25">
      <c r="A473" s="69"/>
      <c r="D473" s="80" t="s">
        <v>1357</v>
      </c>
      <c r="E473" s="361" t="s">
        <v>4</v>
      </c>
      <c r="F473" s="361"/>
      <c r="G473" s="81">
        <v>8</v>
      </c>
      <c r="H473" s="82"/>
    </row>
    <row r="474" spans="1:8" x14ac:dyDescent="0.25">
      <c r="A474" s="1" t="s">
        <v>702</v>
      </c>
      <c r="B474" s="2" t="s">
        <v>89</v>
      </c>
      <c r="C474" s="2" t="s">
        <v>703</v>
      </c>
      <c r="D474" s="259" t="s">
        <v>704</v>
      </c>
      <c r="E474" s="259"/>
      <c r="F474" s="2" t="s">
        <v>309</v>
      </c>
      <c r="G474" s="37">
        <v>2</v>
      </c>
      <c r="H474" s="38">
        <v>0</v>
      </c>
    </row>
    <row r="475" spans="1:8" x14ac:dyDescent="0.25">
      <c r="A475" s="69"/>
      <c r="D475" s="80" t="s">
        <v>221</v>
      </c>
      <c r="E475" s="361" t="s">
        <v>4</v>
      </c>
      <c r="F475" s="361"/>
      <c r="G475" s="81">
        <v>2</v>
      </c>
      <c r="H475" s="82"/>
    </row>
    <row r="476" spans="1:8" x14ac:dyDescent="0.25">
      <c r="A476" s="1" t="s">
        <v>705</v>
      </c>
      <c r="B476" s="2" t="s">
        <v>89</v>
      </c>
      <c r="C476" s="2" t="s">
        <v>706</v>
      </c>
      <c r="D476" s="259" t="s">
        <v>707</v>
      </c>
      <c r="E476" s="259"/>
      <c r="F476" s="2" t="s">
        <v>309</v>
      </c>
      <c r="G476" s="37">
        <v>6</v>
      </c>
      <c r="H476" s="38">
        <v>0</v>
      </c>
    </row>
    <row r="477" spans="1:8" x14ac:dyDescent="0.25">
      <c r="A477" s="69"/>
      <c r="D477" s="80" t="s">
        <v>234</v>
      </c>
      <c r="E477" s="361" t="s">
        <v>4</v>
      </c>
      <c r="F477" s="361"/>
      <c r="G477" s="81">
        <v>6</v>
      </c>
      <c r="H477" s="82"/>
    </row>
    <row r="478" spans="1:8" x14ac:dyDescent="0.25">
      <c r="A478" s="1" t="s">
        <v>708</v>
      </c>
      <c r="B478" s="2" t="s">
        <v>89</v>
      </c>
      <c r="C478" s="2" t="s">
        <v>709</v>
      </c>
      <c r="D478" s="259" t="s">
        <v>710</v>
      </c>
      <c r="E478" s="259"/>
      <c r="F478" s="2" t="s">
        <v>309</v>
      </c>
      <c r="G478" s="37">
        <v>11</v>
      </c>
      <c r="H478" s="38">
        <v>0</v>
      </c>
    </row>
    <row r="479" spans="1:8" x14ac:dyDescent="0.25">
      <c r="A479" s="69"/>
      <c r="D479" s="80" t="s">
        <v>1358</v>
      </c>
      <c r="E479" s="361" t="s">
        <v>4</v>
      </c>
      <c r="F479" s="361"/>
      <c r="G479" s="81">
        <v>11</v>
      </c>
      <c r="H479" s="82"/>
    </row>
    <row r="480" spans="1:8" x14ac:dyDescent="0.25">
      <c r="A480" s="1" t="s">
        <v>711</v>
      </c>
      <c r="B480" s="2" t="s">
        <v>89</v>
      </c>
      <c r="C480" s="2" t="s">
        <v>712</v>
      </c>
      <c r="D480" s="259" t="s">
        <v>713</v>
      </c>
      <c r="E480" s="259"/>
      <c r="F480" s="2" t="s">
        <v>309</v>
      </c>
      <c r="G480" s="37">
        <v>7</v>
      </c>
      <c r="H480" s="38">
        <v>0</v>
      </c>
    </row>
    <row r="481" spans="1:8" x14ac:dyDescent="0.25">
      <c r="A481" s="69"/>
      <c r="D481" s="80" t="s">
        <v>237</v>
      </c>
      <c r="E481" s="361" t="s">
        <v>4</v>
      </c>
      <c r="F481" s="361"/>
      <c r="G481" s="81">
        <v>7</v>
      </c>
      <c r="H481" s="82"/>
    </row>
    <row r="482" spans="1:8" x14ac:dyDescent="0.25">
      <c r="A482" s="1" t="s">
        <v>714</v>
      </c>
      <c r="B482" s="2" t="s">
        <v>89</v>
      </c>
      <c r="C482" s="2" t="s">
        <v>715</v>
      </c>
      <c r="D482" s="259" t="s">
        <v>716</v>
      </c>
      <c r="E482" s="259"/>
      <c r="F482" s="2" t="s">
        <v>309</v>
      </c>
      <c r="G482" s="37">
        <v>4</v>
      </c>
      <c r="H482" s="38">
        <v>0</v>
      </c>
    </row>
    <row r="483" spans="1:8" x14ac:dyDescent="0.25">
      <c r="A483" s="69"/>
      <c r="D483" s="80" t="s">
        <v>227</v>
      </c>
      <c r="E483" s="361" t="s">
        <v>4</v>
      </c>
      <c r="F483" s="361"/>
      <c r="G483" s="81">
        <v>4</v>
      </c>
      <c r="H483" s="82"/>
    </row>
    <row r="484" spans="1:8" x14ac:dyDescent="0.25">
      <c r="A484" s="1" t="s">
        <v>717</v>
      </c>
      <c r="B484" s="2" t="s">
        <v>89</v>
      </c>
      <c r="C484" s="2" t="s">
        <v>718</v>
      </c>
      <c r="D484" s="259" t="s">
        <v>719</v>
      </c>
      <c r="E484" s="259"/>
      <c r="F484" s="2" t="s">
        <v>251</v>
      </c>
      <c r="G484" s="37">
        <v>8.1719000000000008</v>
      </c>
      <c r="H484" s="38">
        <v>0</v>
      </c>
    </row>
    <row r="485" spans="1:8" x14ac:dyDescent="0.25">
      <c r="A485" s="69"/>
      <c r="D485" s="80" t="s">
        <v>1359</v>
      </c>
      <c r="E485" s="361" t="s">
        <v>1360</v>
      </c>
      <c r="F485" s="361"/>
      <c r="G485" s="81">
        <v>8.1719000000000008</v>
      </c>
      <c r="H485" s="82"/>
    </row>
    <row r="486" spans="1:8" x14ac:dyDescent="0.25">
      <c r="A486" s="1" t="s">
        <v>720</v>
      </c>
      <c r="B486" s="2" t="s">
        <v>89</v>
      </c>
      <c r="C486" s="2" t="s">
        <v>721</v>
      </c>
      <c r="D486" s="259" t="s">
        <v>722</v>
      </c>
      <c r="E486" s="259"/>
      <c r="F486" s="2" t="s">
        <v>63</v>
      </c>
      <c r="G486" s="37">
        <v>695.23500000000001</v>
      </c>
      <c r="H486" s="38">
        <v>0</v>
      </c>
    </row>
    <row r="487" spans="1:8" x14ac:dyDescent="0.25">
      <c r="A487" s="69"/>
      <c r="D487" s="80" t="s">
        <v>1361</v>
      </c>
      <c r="E487" s="361" t="s">
        <v>4</v>
      </c>
      <c r="F487" s="361"/>
      <c r="G487" s="81">
        <v>695.23500000000001</v>
      </c>
      <c r="H487" s="82"/>
    </row>
    <row r="488" spans="1:8" x14ac:dyDescent="0.25">
      <c r="A488" s="1" t="s">
        <v>723</v>
      </c>
      <c r="B488" s="2" t="s">
        <v>89</v>
      </c>
      <c r="C488" s="2" t="s">
        <v>724</v>
      </c>
      <c r="D488" s="259" t="s">
        <v>725</v>
      </c>
      <c r="E488" s="259"/>
      <c r="F488" s="2" t="s">
        <v>309</v>
      </c>
      <c r="G488" s="37">
        <v>6</v>
      </c>
      <c r="H488" s="38">
        <v>0</v>
      </c>
    </row>
    <row r="489" spans="1:8" x14ac:dyDescent="0.25">
      <c r="A489" s="69"/>
      <c r="D489" s="80" t="s">
        <v>213</v>
      </c>
      <c r="E489" s="361" t="s">
        <v>1277</v>
      </c>
      <c r="F489" s="361"/>
      <c r="G489" s="81">
        <v>1</v>
      </c>
      <c r="H489" s="82"/>
    </row>
    <row r="490" spans="1:8" x14ac:dyDescent="0.25">
      <c r="A490" s="1" t="s">
        <v>4</v>
      </c>
      <c r="B490" s="2" t="s">
        <v>4</v>
      </c>
      <c r="C490" s="2" t="s">
        <v>4</v>
      </c>
      <c r="D490" s="80" t="s">
        <v>213</v>
      </c>
      <c r="E490" s="361" t="s">
        <v>1279</v>
      </c>
      <c r="F490" s="361"/>
      <c r="G490" s="81">
        <v>1</v>
      </c>
      <c r="H490" s="67" t="s">
        <v>4</v>
      </c>
    </row>
    <row r="491" spans="1:8" x14ac:dyDescent="0.25">
      <c r="A491" s="1" t="s">
        <v>4</v>
      </c>
      <c r="B491" s="2" t="s">
        <v>4</v>
      </c>
      <c r="C491" s="2" t="s">
        <v>4</v>
      </c>
      <c r="D491" s="80" t="s">
        <v>213</v>
      </c>
      <c r="E491" s="361" t="s">
        <v>1281</v>
      </c>
      <c r="F491" s="361"/>
      <c r="G491" s="81">
        <v>1</v>
      </c>
      <c r="H491" s="67" t="s">
        <v>4</v>
      </c>
    </row>
    <row r="492" spans="1:8" x14ac:dyDescent="0.25">
      <c r="A492" s="1" t="s">
        <v>4</v>
      </c>
      <c r="B492" s="2" t="s">
        <v>4</v>
      </c>
      <c r="C492" s="2" t="s">
        <v>4</v>
      </c>
      <c r="D492" s="80" t="s">
        <v>213</v>
      </c>
      <c r="E492" s="361" t="s">
        <v>1283</v>
      </c>
      <c r="F492" s="361"/>
      <c r="G492" s="81">
        <v>1</v>
      </c>
      <c r="H492" s="67" t="s">
        <v>4</v>
      </c>
    </row>
    <row r="493" spans="1:8" x14ac:dyDescent="0.25">
      <c r="A493" s="1" t="s">
        <v>4</v>
      </c>
      <c r="B493" s="2" t="s">
        <v>4</v>
      </c>
      <c r="C493" s="2" t="s">
        <v>4</v>
      </c>
      <c r="D493" s="80" t="s">
        <v>213</v>
      </c>
      <c r="E493" s="361" t="s">
        <v>1287</v>
      </c>
      <c r="F493" s="361"/>
      <c r="G493" s="81">
        <v>1</v>
      </c>
      <c r="H493" s="67" t="s">
        <v>4</v>
      </c>
    </row>
    <row r="494" spans="1:8" x14ac:dyDescent="0.25">
      <c r="A494" s="1" t="s">
        <v>4</v>
      </c>
      <c r="B494" s="2" t="s">
        <v>4</v>
      </c>
      <c r="C494" s="2" t="s">
        <v>4</v>
      </c>
      <c r="D494" s="80" t="s">
        <v>213</v>
      </c>
      <c r="E494" s="361" t="s">
        <v>1289</v>
      </c>
      <c r="F494" s="361"/>
      <c r="G494" s="81">
        <v>1</v>
      </c>
      <c r="H494" s="67" t="s">
        <v>4</v>
      </c>
    </row>
    <row r="495" spans="1:8" x14ac:dyDescent="0.25">
      <c r="A495" s="1" t="s">
        <v>727</v>
      </c>
      <c r="B495" s="2" t="s">
        <v>89</v>
      </c>
      <c r="C495" s="2" t="s">
        <v>728</v>
      </c>
      <c r="D495" s="259" t="s">
        <v>729</v>
      </c>
      <c r="E495" s="259"/>
      <c r="F495" s="2" t="s">
        <v>309</v>
      </c>
      <c r="G495" s="37">
        <v>1</v>
      </c>
      <c r="H495" s="38">
        <v>0</v>
      </c>
    </row>
    <row r="496" spans="1:8" x14ac:dyDescent="0.25">
      <c r="A496" s="69"/>
      <c r="D496" s="80" t="s">
        <v>213</v>
      </c>
      <c r="E496" s="361" t="s">
        <v>4</v>
      </c>
      <c r="F496" s="361"/>
      <c r="G496" s="81">
        <v>1</v>
      </c>
      <c r="H496" s="82"/>
    </row>
    <row r="497" spans="1:8" x14ac:dyDescent="0.25">
      <c r="A497" s="1" t="s">
        <v>730</v>
      </c>
      <c r="B497" s="2" t="s">
        <v>89</v>
      </c>
      <c r="C497" s="2" t="s">
        <v>731</v>
      </c>
      <c r="D497" s="259" t="s">
        <v>732</v>
      </c>
      <c r="E497" s="259"/>
      <c r="F497" s="2" t="s">
        <v>309</v>
      </c>
      <c r="G497" s="37">
        <v>1</v>
      </c>
      <c r="H497" s="38">
        <v>0</v>
      </c>
    </row>
    <row r="498" spans="1:8" x14ac:dyDescent="0.25">
      <c r="A498" s="69"/>
      <c r="D498" s="80" t="s">
        <v>213</v>
      </c>
      <c r="E498" s="361" t="s">
        <v>4</v>
      </c>
      <c r="F498" s="361"/>
      <c r="G498" s="81">
        <v>1</v>
      </c>
      <c r="H498" s="82"/>
    </row>
    <row r="499" spans="1:8" x14ac:dyDescent="0.25">
      <c r="A499" s="1" t="s">
        <v>733</v>
      </c>
      <c r="B499" s="2" t="s">
        <v>89</v>
      </c>
      <c r="C499" s="2" t="s">
        <v>734</v>
      </c>
      <c r="D499" s="259" t="s">
        <v>735</v>
      </c>
      <c r="E499" s="259"/>
      <c r="F499" s="2" t="s">
        <v>309</v>
      </c>
      <c r="G499" s="37">
        <v>1</v>
      </c>
      <c r="H499" s="38">
        <v>0</v>
      </c>
    </row>
    <row r="500" spans="1:8" x14ac:dyDescent="0.25">
      <c r="A500" s="69"/>
      <c r="D500" s="80" t="s">
        <v>213</v>
      </c>
      <c r="E500" s="361" t="s">
        <v>4</v>
      </c>
      <c r="F500" s="361"/>
      <c r="G500" s="81">
        <v>1</v>
      </c>
      <c r="H500" s="82"/>
    </row>
    <row r="501" spans="1:8" x14ac:dyDescent="0.25">
      <c r="A501" s="1" t="s">
        <v>736</v>
      </c>
      <c r="B501" s="2" t="s">
        <v>89</v>
      </c>
      <c r="C501" s="2" t="s">
        <v>737</v>
      </c>
      <c r="D501" s="259" t="s">
        <v>738</v>
      </c>
      <c r="E501" s="259"/>
      <c r="F501" s="2" t="s">
        <v>309</v>
      </c>
      <c r="G501" s="37">
        <v>1</v>
      </c>
      <c r="H501" s="38">
        <v>0</v>
      </c>
    </row>
    <row r="502" spans="1:8" x14ac:dyDescent="0.25">
      <c r="A502" s="69"/>
      <c r="D502" s="80" t="s">
        <v>213</v>
      </c>
      <c r="E502" s="361" t="s">
        <v>4</v>
      </c>
      <c r="F502" s="361"/>
      <c r="G502" s="81">
        <v>1</v>
      </c>
      <c r="H502" s="82"/>
    </row>
    <row r="503" spans="1:8" x14ac:dyDescent="0.25">
      <c r="A503" s="1" t="s">
        <v>739</v>
      </c>
      <c r="B503" s="2" t="s">
        <v>89</v>
      </c>
      <c r="C503" s="2" t="s">
        <v>740</v>
      </c>
      <c r="D503" s="259" t="s">
        <v>741</v>
      </c>
      <c r="E503" s="259"/>
      <c r="F503" s="2" t="s">
        <v>309</v>
      </c>
      <c r="G503" s="37">
        <v>1</v>
      </c>
      <c r="H503" s="38">
        <v>0</v>
      </c>
    </row>
    <row r="504" spans="1:8" x14ac:dyDescent="0.25">
      <c r="A504" s="69"/>
      <c r="D504" s="80" t="s">
        <v>213</v>
      </c>
      <c r="E504" s="361" t="s">
        <v>4</v>
      </c>
      <c r="F504" s="361"/>
      <c r="G504" s="81">
        <v>1</v>
      </c>
      <c r="H504" s="82"/>
    </row>
    <row r="505" spans="1:8" x14ac:dyDescent="0.25">
      <c r="A505" s="1" t="s">
        <v>742</v>
      </c>
      <c r="B505" s="2" t="s">
        <v>89</v>
      </c>
      <c r="C505" s="2" t="s">
        <v>743</v>
      </c>
      <c r="D505" s="259" t="s">
        <v>744</v>
      </c>
      <c r="E505" s="259"/>
      <c r="F505" s="2" t="s">
        <v>309</v>
      </c>
      <c r="G505" s="37">
        <v>1</v>
      </c>
      <c r="H505" s="38">
        <v>0</v>
      </c>
    </row>
    <row r="506" spans="1:8" x14ac:dyDescent="0.25">
      <c r="A506" s="69"/>
      <c r="D506" s="80" t="s">
        <v>213</v>
      </c>
      <c r="E506" s="361" t="s">
        <v>4</v>
      </c>
      <c r="F506" s="361"/>
      <c r="G506" s="81">
        <v>1</v>
      </c>
      <c r="H506" s="82"/>
    </row>
    <row r="507" spans="1:8" x14ac:dyDescent="0.25">
      <c r="A507" s="1" t="s">
        <v>745</v>
      </c>
      <c r="B507" s="2" t="s">
        <v>89</v>
      </c>
      <c r="C507" s="2" t="s">
        <v>746</v>
      </c>
      <c r="D507" s="259" t="s">
        <v>747</v>
      </c>
      <c r="E507" s="259"/>
      <c r="F507" s="2" t="s">
        <v>309</v>
      </c>
      <c r="G507" s="37">
        <v>7</v>
      </c>
      <c r="H507" s="38">
        <v>0</v>
      </c>
    </row>
    <row r="508" spans="1:8" x14ac:dyDescent="0.25">
      <c r="A508" s="69"/>
      <c r="D508" s="80" t="s">
        <v>213</v>
      </c>
      <c r="E508" s="361" t="s">
        <v>1285</v>
      </c>
      <c r="F508" s="361"/>
      <c r="G508" s="81">
        <v>1</v>
      </c>
      <c r="H508" s="82"/>
    </row>
    <row r="509" spans="1:8" x14ac:dyDescent="0.25">
      <c r="A509" s="1" t="s">
        <v>4</v>
      </c>
      <c r="B509" s="2" t="s">
        <v>4</v>
      </c>
      <c r="C509" s="2" t="s">
        <v>4</v>
      </c>
      <c r="D509" s="80" t="s">
        <v>213</v>
      </c>
      <c r="E509" s="361" t="s">
        <v>1293</v>
      </c>
      <c r="F509" s="361"/>
      <c r="G509" s="81">
        <v>1</v>
      </c>
      <c r="H509" s="67" t="s">
        <v>4</v>
      </c>
    </row>
    <row r="510" spans="1:8" x14ac:dyDescent="0.25">
      <c r="A510" s="1" t="s">
        <v>4</v>
      </c>
      <c r="B510" s="2" t="s">
        <v>4</v>
      </c>
      <c r="C510" s="2" t="s">
        <v>4</v>
      </c>
      <c r="D510" s="80" t="s">
        <v>221</v>
      </c>
      <c r="E510" s="361" t="s">
        <v>1295</v>
      </c>
      <c r="F510" s="361"/>
      <c r="G510" s="81">
        <v>2</v>
      </c>
      <c r="H510" s="67" t="s">
        <v>4</v>
      </c>
    </row>
    <row r="511" spans="1:8" x14ac:dyDescent="0.25">
      <c r="A511" s="1" t="s">
        <v>4</v>
      </c>
      <c r="B511" s="2" t="s">
        <v>4</v>
      </c>
      <c r="C511" s="2" t="s">
        <v>4</v>
      </c>
      <c r="D511" s="80" t="s">
        <v>221</v>
      </c>
      <c r="E511" s="361" t="s">
        <v>1300</v>
      </c>
      <c r="F511" s="361"/>
      <c r="G511" s="81">
        <v>2</v>
      </c>
      <c r="H511" s="67" t="s">
        <v>4</v>
      </c>
    </row>
    <row r="512" spans="1:8" x14ac:dyDescent="0.25">
      <c r="A512" s="1" t="s">
        <v>4</v>
      </c>
      <c r="B512" s="2" t="s">
        <v>4</v>
      </c>
      <c r="C512" s="2" t="s">
        <v>4</v>
      </c>
      <c r="D512" s="80" t="s">
        <v>213</v>
      </c>
      <c r="E512" s="361" t="s">
        <v>1302</v>
      </c>
      <c r="F512" s="361"/>
      <c r="G512" s="81">
        <v>1</v>
      </c>
      <c r="H512" s="67" t="s">
        <v>4</v>
      </c>
    </row>
    <row r="513" spans="1:8" x14ac:dyDescent="0.25">
      <c r="A513" s="1" t="s">
        <v>748</v>
      </c>
      <c r="B513" s="2" t="s">
        <v>89</v>
      </c>
      <c r="C513" s="2" t="s">
        <v>749</v>
      </c>
      <c r="D513" s="259" t="s">
        <v>750</v>
      </c>
      <c r="E513" s="259"/>
      <c r="F513" s="2" t="s">
        <v>309</v>
      </c>
      <c r="G513" s="37">
        <v>1</v>
      </c>
      <c r="H513" s="38">
        <v>0</v>
      </c>
    </row>
    <row r="514" spans="1:8" x14ac:dyDescent="0.25">
      <c r="A514" s="69"/>
      <c r="D514" s="80" t="s">
        <v>213</v>
      </c>
      <c r="E514" s="361" t="s">
        <v>4</v>
      </c>
      <c r="F514" s="361"/>
      <c r="G514" s="81">
        <v>1</v>
      </c>
      <c r="H514" s="82"/>
    </row>
    <row r="515" spans="1:8" x14ac:dyDescent="0.25">
      <c r="A515" s="1" t="s">
        <v>751</v>
      </c>
      <c r="B515" s="2" t="s">
        <v>89</v>
      </c>
      <c r="C515" s="2" t="s">
        <v>752</v>
      </c>
      <c r="D515" s="259" t="s">
        <v>753</v>
      </c>
      <c r="E515" s="259"/>
      <c r="F515" s="2" t="s">
        <v>309</v>
      </c>
      <c r="G515" s="37">
        <v>1</v>
      </c>
      <c r="H515" s="38">
        <v>0</v>
      </c>
    </row>
    <row r="516" spans="1:8" x14ac:dyDescent="0.25">
      <c r="A516" s="69"/>
      <c r="D516" s="80" t="s">
        <v>213</v>
      </c>
      <c r="E516" s="361" t="s">
        <v>4</v>
      </c>
      <c r="F516" s="361"/>
      <c r="G516" s="81">
        <v>1</v>
      </c>
      <c r="H516" s="82"/>
    </row>
    <row r="517" spans="1:8" x14ac:dyDescent="0.25">
      <c r="A517" s="1" t="s">
        <v>754</v>
      </c>
      <c r="B517" s="2" t="s">
        <v>89</v>
      </c>
      <c r="C517" s="2" t="s">
        <v>755</v>
      </c>
      <c r="D517" s="259" t="s">
        <v>756</v>
      </c>
      <c r="E517" s="259"/>
      <c r="F517" s="2" t="s">
        <v>309</v>
      </c>
      <c r="G517" s="37">
        <v>2</v>
      </c>
      <c r="H517" s="38">
        <v>0</v>
      </c>
    </row>
    <row r="518" spans="1:8" x14ac:dyDescent="0.25">
      <c r="A518" s="69"/>
      <c r="D518" s="80" t="s">
        <v>221</v>
      </c>
      <c r="E518" s="361" t="s">
        <v>4</v>
      </c>
      <c r="F518" s="361"/>
      <c r="G518" s="81">
        <v>2</v>
      </c>
      <c r="H518" s="82"/>
    </row>
    <row r="519" spans="1:8" x14ac:dyDescent="0.25">
      <c r="A519" s="1" t="s">
        <v>757</v>
      </c>
      <c r="B519" s="2" t="s">
        <v>89</v>
      </c>
      <c r="C519" s="2" t="s">
        <v>758</v>
      </c>
      <c r="D519" s="259" t="s">
        <v>759</v>
      </c>
      <c r="E519" s="259"/>
      <c r="F519" s="2" t="s">
        <v>309</v>
      </c>
      <c r="G519" s="37">
        <v>2</v>
      </c>
      <c r="H519" s="38">
        <v>0</v>
      </c>
    </row>
    <row r="520" spans="1:8" x14ac:dyDescent="0.25">
      <c r="A520" s="69"/>
      <c r="D520" s="80" t="s">
        <v>221</v>
      </c>
      <c r="E520" s="361" t="s">
        <v>4</v>
      </c>
      <c r="F520" s="361"/>
      <c r="G520" s="81">
        <v>2</v>
      </c>
      <c r="H520" s="82"/>
    </row>
    <row r="521" spans="1:8" x14ac:dyDescent="0.25">
      <c r="A521" s="1" t="s">
        <v>760</v>
      </c>
      <c r="B521" s="2" t="s">
        <v>89</v>
      </c>
      <c r="C521" s="2" t="s">
        <v>761</v>
      </c>
      <c r="D521" s="259" t="s">
        <v>762</v>
      </c>
      <c r="E521" s="259"/>
      <c r="F521" s="2" t="s">
        <v>309</v>
      </c>
      <c r="G521" s="37">
        <v>1</v>
      </c>
      <c r="H521" s="38">
        <v>0</v>
      </c>
    </row>
    <row r="522" spans="1:8" x14ac:dyDescent="0.25">
      <c r="A522" s="69"/>
      <c r="D522" s="80" t="s">
        <v>213</v>
      </c>
      <c r="E522" s="361" t="s">
        <v>4</v>
      </c>
      <c r="F522" s="361"/>
      <c r="G522" s="81">
        <v>1</v>
      </c>
      <c r="H522" s="82"/>
    </row>
    <row r="523" spans="1:8" x14ac:dyDescent="0.25">
      <c r="A523" s="1" t="s">
        <v>763</v>
      </c>
      <c r="B523" s="2" t="s">
        <v>89</v>
      </c>
      <c r="C523" s="2" t="s">
        <v>764</v>
      </c>
      <c r="D523" s="259" t="s">
        <v>765</v>
      </c>
      <c r="E523" s="259"/>
      <c r="F523" s="2" t="s">
        <v>309</v>
      </c>
      <c r="G523" s="37">
        <v>4</v>
      </c>
      <c r="H523" s="38">
        <v>0</v>
      </c>
    </row>
    <row r="524" spans="1:8" x14ac:dyDescent="0.25">
      <c r="A524" s="69"/>
      <c r="D524" s="80" t="s">
        <v>221</v>
      </c>
      <c r="E524" s="361" t="s">
        <v>1291</v>
      </c>
      <c r="F524" s="361"/>
      <c r="G524" s="81">
        <v>2</v>
      </c>
      <c r="H524" s="82"/>
    </row>
    <row r="525" spans="1:8" x14ac:dyDescent="0.25">
      <c r="A525" s="1" t="s">
        <v>4</v>
      </c>
      <c r="B525" s="2" t="s">
        <v>4</v>
      </c>
      <c r="C525" s="2" t="s">
        <v>4</v>
      </c>
      <c r="D525" s="80" t="s">
        <v>213</v>
      </c>
      <c r="E525" s="361" t="s">
        <v>1297</v>
      </c>
      <c r="F525" s="361"/>
      <c r="G525" s="81">
        <v>1</v>
      </c>
      <c r="H525" s="67" t="s">
        <v>4</v>
      </c>
    </row>
    <row r="526" spans="1:8" x14ac:dyDescent="0.25">
      <c r="A526" s="1" t="s">
        <v>4</v>
      </c>
      <c r="B526" s="2" t="s">
        <v>4</v>
      </c>
      <c r="C526" s="2" t="s">
        <v>4</v>
      </c>
      <c r="D526" s="80" t="s">
        <v>213</v>
      </c>
      <c r="E526" s="361" t="s">
        <v>1301</v>
      </c>
      <c r="F526" s="361"/>
      <c r="G526" s="81">
        <v>1</v>
      </c>
      <c r="H526" s="67" t="s">
        <v>4</v>
      </c>
    </row>
    <row r="527" spans="1:8" x14ac:dyDescent="0.25">
      <c r="A527" s="1" t="s">
        <v>766</v>
      </c>
      <c r="B527" s="2" t="s">
        <v>89</v>
      </c>
      <c r="C527" s="2" t="s">
        <v>767</v>
      </c>
      <c r="D527" s="259" t="s">
        <v>768</v>
      </c>
      <c r="E527" s="259"/>
      <c r="F527" s="2" t="s">
        <v>309</v>
      </c>
      <c r="G527" s="37">
        <v>2</v>
      </c>
      <c r="H527" s="38">
        <v>0</v>
      </c>
    </row>
    <row r="528" spans="1:8" x14ac:dyDescent="0.25">
      <c r="A528" s="69"/>
      <c r="D528" s="80" t="s">
        <v>221</v>
      </c>
      <c r="E528" s="361" t="s">
        <v>4</v>
      </c>
      <c r="F528" s="361"/>
      <c r="G528" s="81">
        <v>2</v>
      </c>
      <c r="H528" s="82"/>
    </row>
    <row r="529" spans="1:8" x14ac:dyDescent="0.25">
      <c r="A529" s="1" t="s">
        <v>769</v>
      </c>
      <c r="B529" s="2" t="s">
        <v>89</v>
      </c>
      <c r="C529" s="2" t="s">
        <v>752</v>
      </c>
      <c r="D529" s="259" t="s">
        <v>770</v>
      </c>
      <c r="E529" s="259"/>
      <c r="F529" s="2" t="s">
        <v>309</v>
      </c>
      <c r="G529" s="37">
        <v>1</v>
      </c>
      <c r="H529" s="38">
        <v>0</v>
      </c>
    </row>
    <row r="530" spans="1:8" x14ac:dyDescent="0.25">
      <c r="A530" s="69"/>
      <c r="D530" s="80" t="s">
        <v>213</v>
      </c>
      <c r="E530" s="361" t="s">
        <v>4</v>
      </c>
      <c r="F530" s="361"/>
      <c r="G530" s="81">
        <v>1</v>
      </c>
      <c r="H530" s="82"/>
    </row>
    <row r="531" spans="1:8" x14ac:dyDescent="0.25">
      <c r="A531" s="1" t="s">
        <v>771</v>
      </c>
      <c r="B531" s="2" t="s">
        <v>89</v>
      </c>
      <c r="C531" s="2" t="s">
        <v>772</v>
      </c>
      <c r="D531" s="259" t="s">
        <v>773</v>
      </c>
      <c r="E531" s="259"/>
      <c r="F531" s="2" t="s">
        <v>309</v>
      </c>
      <c r="G531" s="37">
        <v>1</v>
      </c>
      <c r="H531" s="38">
        <v>0</v>
      </c>
    </row>
    <row r="532" spans="1:8" x14ac:dyDescent="0.25">
      <c r="A532" s="69"/>
      <c r="D532" s="80" t="s">
        <v>213</v>
      </c>
      <c r="E532" s="361" t="s">
        <v>4</v>
      </c>
      <c r="F532" s="361"/>
      <c r="G532" s="81">
        <v>1</v>
      </c>
      <c r="H532" s="82"/>
    </row>
    <row r="533" spans="1:8" x14ac:dyDescent="0.25">
      <c r="A533" s="1" t="s">
        <v>774</v>
      </c>
      <c r="B533" s="2" t="s">
        <v>89</v>
      </c>
      <c r="C533" s="2" t="s">
        <v>775</v>
      </c>
      <c r="D533" s="259" t="s">
        <v>776</v>
      </c>
      <c r="E533" s="259"/>
      <c r="F533" s="2" t="s">
        <v>309</v>
      </c>
      <c r="G533" s="37">
        <v>4</v>
      </c>
      <c r="H533" s="38">
        <v>0</v>
      </c>
    </row>
    <row r="534" spans="1:8" x14ac:dyDescent="0.25">
      <c r="A534" s="69"/>
      <c r="D534" s="80" t="s">
        <v>213</v>
      </c>
      <c r="E534" s="361" t="s">
        <v>1362</v>
      </c>
      <c r="F534" s="361"/>
      <c r="G534" s="81">
        <v>1</v>
      </c>
      <c r="H534" s="82"/>
    </row>
    <row r="535" spans="1:8" x14ac:dyDescent="0.25">
      <c r="A535" s="1" t="s">
        <v>4</v>
      </c>
      <c r="B535" s="2" t="s">
        <v>4</v>
      </c>
      <c r="C535" s="2" t="s">
        <v>4</v>
      </c>
      <c r="D535" s="80" t="s">
        <v>213</v>
      </c>
      <c r="E535" s="361" t="s">
        <v>1363</v>
      </c>
      <c r="F535" s="361"/>
      <c r="G535" s="81">
        <v>1</v>
      </c>
      <c r="H535" s="67" t="s">
        <v>4</v>
      </c>
    </row>
    <row r="536" spans="1:8" x14ac:dyDescent="0.25">
      <c r="A536" s="1" t="s">
        <v>4</v>
      </c>
      <c r="B536" s="2" t="s">
        <v>4</v>
      </c>
      <c r="C536" s="2" t="s">
        <v>4</v>
      </c>
      <c r="D536" s="80" t="s">
        <v>213</v>
      </c>
      <c r="E536" s="361" t="s">
        <v>1364</v>
      </c>
      <c r="F536" s="361"/>
      <c r="G536" s="81">
        <v>1</v>
      </c>
      <c r="H536" s="67" t="s">
        <v>4</v>
      </c>
    </row>
    <row r="537" spans="1:8" x14ac:dyDescent="0.25">
      <c r="A537" s="1" t="s">
        <v>4</v>
      </c>
      <c r="B537" s="2" t="s">
        <v>4</v>
      </c>
      <c r="C537" s="2" t="s">
        <v>4</v>
      </c>
      <c r="D537" s="80" t="s">
        <v>213</v>
      </c>
      <c r="E537" s="361" t="s">
        <v>1299</v>
      </c>
      <c r="F537" s="361"/>
      <c r="G537" s="81">
        <v>1</v>
      </c>
      <c r="H537" s="67" t="s">
        <v>4</v>
      </c>
    </row>
    <row r="538" spans="1:8" x14ac:dyDescent="0.25">
      <c r="A538" s="1" t="s">
        <v>777</v>
      </c>
      <c r="B538" s="2" t="s">
        <v>89</v>
      </c>
      <c r="C538" s="2" t="s">
        <v>778</v>
      </c>
      <c r="D538" s="259" t="s">
        <v>779</v>
      </c>
      <c r="E538" s="259"/>
      <c r="F538" s="2" t="s">
        <v>309</v>
      </c>
      <c r="G538" s="37">
        <v>1</v>
      </c>
      <c r="H538" s="38">
        <v>0</v>
      </c>
    </row>
    <row r="539" spans="1:8" x14ac:dyDescent="0.25">
      <c r="A539" s="69"/>
      <c r="D539" s="80" t="s">
        <v>213</v>
      </c>
      <c r="E539" s="361" t="s">
        <v>4</v>
      </c>
      <c r="F539" s="361"/>
      <c r="G539" s="81">
        <v>1</v>
      </c>
      <c r="H539" s="82"/>
    </row>
    <row r="540" spans="1:8" x14ac:dyDescent="0.25">
      <c r="A540" s="1" t="s">
        <v>780</v>
      </c>
      <c r="B540" s="2" t="s">
        <v>89</v>
      </c>
      <c r="C540" s="2" t="s">
        <v>781</v>
      </c>
      <c r="D540" s="259" t="s">
        <v>782</v>
      </c>
      <c r="E540" s="259"/>
      <c r="F540" s="2" t="s">
        <v>309</v>
      </c>
      <c r="G540" s="37">
        <v>1</v>
      </c>
      <c r="H540" s="38">
        <v>0</v>
      </c>
    </row>
    <row r="541" spans="1:8" x14ac:dyDescent="0.25">
      <c r="A541" s="69"/>
      <c r="D541" s="80" t="s">
        <v>213</v>
      </c>
      <c r="E541" s="361" t="s">
        <v>4</v>
      </c>
      <c r="F541" s="361"/>
      <c r="G541" s="81">
        <v>1</v>
      </c>
      <c r="H541" s="82"/>
    </row>
    <row r="542" spans="1:8" x14ac:dyDescent="0.25">
      <c r="A542" s="1" t="s">
        <v>783</v>
      </c>
      <c r="B542" s="2" t="s">
        <v>89</v>
      </c>
      <c r="C542" s="2" t="s">
        <v>784</v>
      </c>
      <c r="D542" s="259" t="s">
        <v>785</v>
      </c>
      <c r="E542" s="259"/>
      <c r="F542" s="2" t="s">
        <v>309</v>
      </c>
      <c r="G542" s="37">
        <v>1</v>
      </c>
      <c r="H542" s="38">
        <v>0</v>
      </c>
    </row>
    <row r="543" spans="1:8" x14ac:dyDescent="0.25">
      <c r="A543" s="69"/>
      <c r="D543" s="80" t="s">
        <v>213</v>
      </c>
      <c r="E543" s="361" t="s">
        <v>4</v>
      </c>
      <c r="F543" s="361"/>
      <c r="G543" s="81">
        <v>1</v>
      </c>
      <c r="H543" s="82"/>
    </row>
    <row r="544" spans="1:8" x14ac:dyDescent="0.25">
      <c r="A544" s="1" t="s">
        <v>786</v>
      </c>
      <c r="B544" s="2" t="s">
        <v>89</v>
      </c>
      <c r="C544" s="2" t="s">
        <v>787</v>
      </c>
      <c r="D544" s="259" t="s">
        <v>788</v>
      </c>
      <c r="E544" s="259"/>
      <c r="F544" s="2" t="s">
        <v>309</v>
      </c>
      <c r="G544" s="37">
        <v>1</v>
      </c>
      <c r="H544" s="38">
        <v>0</v>
      </c>
    </row>
    <row r="545" spans="1:8" x14ac:dyDescent="0.25">
      <c r="A545" s="69"/>
      <c r="D545" s="80" t="s">
        <v>213</v>
      </c>
      <c r="E545" s="361" t="s">
        <v>4</v>
      </c>
      <c r="F545" s="361"/>
      <c r="G545" s="81">
        <v>1</v>
      </c>
      <c r="H545" s="82"/>
    </row>
    <row r="546" spans="1:8" x14ac:dyDescent="0.25">
      <c r="A546" s="1" t="s">
        <v>789</v>
      </c>
      <c r="B546" s="2" t="s">
        <v>89</v>
      </c>
      <c r="C546" s="2" t="s">
        <v>790</v>
      </c>
      <c r="D546" s="259" t="s">
        <v>791</v>
      </c>
      <c r="E546" s="259"/>
      <c r="F546" s="2" t="s">
        <v>309</v>
      </c>
      <c r="G546" s="37">
        <v>1</v>
      </c>
      <c r="H546" s="38">
        <v>0</v>
      </c>
    </row>
    <row r="547" spans="1:8" x14ac:dyDescent="0.25">
      <c r="A547" s="69"/>
      <c r="D547" s="80" t="s">
        <v>213</v>
      </c>
      <c r="E547" s="361" t="s">
        <v>4</v>
      </c>
      <c r="F547" s="361"/>
      <c r="G547" s="81">
        <v>1</v>
      </c>
      <c r="H547" s="82"/>
    </row>
    <row r="548" spans="1:8" x14ac:dyDescent="0.25">
      <c r="A548" s="1" t="s">
        <v>792</v>
      </c>
      <c r="B548" s="2" t="s">
        <v>89</v>
      </c>
      <c r="C548" s="2" t="s">
        <v>793</v>
      </c>
      <c r="D548" s="259" t="s">
        <v>794</v>
      </c>
      <c r="E548" s="259"/>
      <c r="F548" s="2" t="s">
        <v>309</v>
      </c>
      <c r="G548" s="37">
        <v>1</v>
      </c>
      <c r="H548" s="38">
        <v>0</v>
      </c>
    </row>
    <row r="549" spans="1:8" x14ac:dyDescent="0.25">
      <c r="A549" s="69"/>
      <c r="D549" s="80" t="s">
        <v>213</v>
      </c>
      <c r="E549" s="361" t="s">
        <v>4</v>
      </c>
      <c r="F549" s="361"/>
      <c r="G549" s="81">
        <v>1</v>
      </c>
      <c r="H549" s="82"/>
    </row>
    <row r="550" spans="1:8" x14ac:dyDescent="0.25">
      <c r="A550" s="1" t="s">
        <v>795</v>
      </c>
      <c r="B550" s="2" t="s">
        <v>89</v>
      </c>
      <c r="C550" s="2" t="s">
        <v>796</v>
      </c>
      <c r="D550" s="259" t="s">
        <v>797</v>
      </c>
      <c r="E550" s="259"/>
      <c r="F550" s="2" t="s">
        <v>309</v>
      </c>
      <c r="G550" s="37">
        <v>6</v>
      </c>
      <c r="H550" s="38">
        <v>0</v>
      </c>
    </row>
    <row r="551" spans="1:8" x14ac:dyDescent="0.25">
      <c r="A551" s="69"/>
      <c r="D551" s="80" t="s">
        <v>213</v>
      </c>
      <c r="E551" s="361" t="s">
        <v>1365</v>
      </c>
      <c r="F551" s="361"/>
      <c r="G551" s="81">
        <v>1</v>
      </c>
      <c r="H551" s="82"/>
    </row>
    <row r="552" spans="1:8" x14ac:dyDescent="0.25">
      <c r="A552" s="1" t="s">
        <v>4</v>
      </c>
      <c r="B552" s="2" t="s">
        <v>4</v>
      </c>
      <c r="C552" s="2" t="s">
        <v>4</v>
      </c>
      <c r="D552" s="80" t="s">
        <v>231</v>
      </c>
      <c r="E552" s="361" t="s">
        <v>1366</v>
      </c>
      <c r="F552" s="361"/>
      <c r="G552" s="81">
        <v>5</v>
      </c>
      <c r="H552" s="67" t="s">
        <v>4</v>
      </c>
    </row>
    <row r="553" spans="1:8" x14ac:dyDescent="0.25">
      <c r="A553" s="1" t="s">
        <v>798</v>
      </c>
      <c r="B553" s="2" t="s">
        <v>89</v>
      </c>
      <c r="C553" s="2" t="s">
        <v>799</v>
      </c>
      <c r="D553" s="259" t="s">
        <v>800</v>
      </c>
      <c r="E553" s="259"/>
      <c r="F553" s="2" t="s">
        <v>309</v>
      </c>
      <c r="G553" s="37">
        <v>6</v>
      </c>
      <c r="H553" s="38">
        <v>0</v>
      </c>
    </row>
    <row r="554" spans="1:8" x14ac:dyDescent="0.25">
      <c r="A554" s="69"/>
      <c r="D554" s="80" t="s">
        <v>213</v>
      </c>
      <c r="E554" s="361" t="s">
        <v>1365</v>
      </c>
      <c r="F554" s="361"/>
      <c r="G554" s="81">
        <v>1</v>
      </c>
      <c r="H554" s="82"/>
    </row>
    <row r="555" spans="1:8" x14ac:dyDescent="0.25">
      <c r="A555" s="1" t="s">
        <v>4</v>
      </c>
      <c r="B555" s="2" t="s">
        <v>4</v>
      </c>
      <c r="C555" s="2" t="s">
        <v>4</v>
      </c>
      <c r="D555" s="80" t="s">
        <v>231</v>
      </c>
      <c r="E555" s="361" t="s">
        <v>1366</v>
      </c>
      <c r="F555" s="361"/>
      <c r="G555" s="81">
        <v>5</v>
      </c>
      <c r="H555" s="67" t="s">
        <v>4</v>
      </c>
    </row>
    <row r="556" spans="1:8" x14ac:dyDescent="0.25">
      <c r="A556" s="1" t="s">
        <v>801</v>
      </c>
      <c r="B556" s="2" t="s">
        <v>89</v>
      </c>
      <c r="C556" s="2" t="s">
        <v>802</v>
      </c>
      <c r="D556" s="259" t="s">
        <v>803</v>
      </c>
      <c r="E556" s="259"/>
      <c r="F556" s="2" t="s">
        <v>309</v>
      </c>
      <c r="G556" s="37">
        <v>6</v>
      </c>
      <c r="H556" s="38">
        <v>0</v>
      </c>
    </row>
    <row r="557" spans="1:8" x14ac:dyDescent="0.25">
      <c r="A557" s="69"/>
      <c r="D557" s="80" t="s">
        <v>213</v>
      </c>
      <c r="E557" s="361" t="s">
        <v>1365</v>
      </c>
      <c r="F557" s="361"/>
      <c r="G557" s="81">
        <v>1</v>
      </c>
      <c r="H557" s="82"/>
    </row>
    <row r="558" spans="1:8" x14ac:dyDescent="0.25">
      <c r="A558" s="1" t="s">
        <v>4</v>
      </c>
      <c r="B558" s="2" t="s">
        <v>4</v>
      </c>
      <c r="C558" s="2" t="s">
        <v>4</v>
      </c>
      <c r="D558" s="80" t="s">
        <v>231</v>
      </c>
      <c r="E558" s="361" t="s">
        <v>1366</v>
      </c>
      <c r="F558" s="361"/>
      <c r="G558" s="81">
        <v>5</v>
      </c>
      <c r="H558" s="67" t="s">
        <v>4</v>
      </c>
    </row>
    <row r="559" spans="1:8" x14ac:dyDescent="0.25">
      <c r="A559" s="1" t="s">
        <v>804</v>
      </c>
      <c r="B559" s="2" t="s">
        <v>89</v>
      </c>
      <c r="C559" s="2" t="s">
        <v>805</v>
      </c>
      <c r="D559" s="259" t="s">
        <v>806</v>
      </c>
      <c r="E559" s="259"/>
      <c r="F559" s="2" t="s">
        <v>309</v>
      </c>
      <c r="G559" s="37">
        <v>1</v>
      </c>
      <c r="H559" s="38">
        <v>0</v>
      </c>
    </row>
    <row r="560" spans="1:8" x14ac:dyDescent="0.25">
      <c r="A560" s="69"/>
      <c r="D560" s="80" t="s">
        <v>213</v>
      </c>
      <c r="E560" s="361" t="s">
        <v>1365</v>
      </c>
      <c r="F560" s="361"/>
      <c r="G560" s="81">
        <v>1</v>
      </c>
      <c r="H560" s="82"/>
    </row>
    <row r="561" spans="1:8" x14ac:dyDescent="0.25">
      <c r="A561" s="1" t="s">
        <v>807</v>
      </c>
      <c r="B561" s="2" t="s">
        <v>89</v>
      </c>
      <c r="C561" s="2" t="s">
        <v>808</v>
      </c>
      <c r="D561" s="259" t="s">
        <v>809</v>
      </c>
      <c r="E561" s="259"/>
      <c r="F561" s="2" t="s">
        <v>309</v>
      </c>
      <c r="G561" s="37">
        <v>1</v>
      </c>
      <c r="H561" s="38">
        <v>0</v>
      </c>
    </row>
    <row r="562" spans="1:8" x14ac:dyDescent="0.25">
      <c r="A562" s="69"/>
      <c r="D562" s="80" t="s">
        <v>213</v>
      </c>
      <c r="E562" s="361" t="s">
        <v>4</v>
      </c>
      <c r="F562" s="361"/>
      <c r="G562" s="81">
        <v>1</v>
      </c>
      <c r="H562" s="82"/>
    </row>
    <row r="563" spans="1:8" x14ac:dyDescent="0.25">
      <c r="A563" s="1" t="s">
        <v>810</v>
      </c>
      <c r="B563" s="2" t="s">
        <v>89</v>
      </c>
      <c r="C563" s="2" t="s">
        <v>811</v>
      </c>
      <c r="D563" s="259" t="s">
        <v>812</v>
      </c>
      <c r="E563" s="259"/>
      <c r="F563" s="2" t="s">
        <v>309</v>
      </c>
      <c r="G563" s="37">
        <v>1</v>
      </c>
      <c r="H563" s="38">
        <v>0</v>
      </c>
    </row>
    <row r="564" spans="1:8" x14ac:dyDescent="0.25">
      <c r="A564" s="69"/>
      <c r="D564" s="80" t="s">
        <v>213</v>
      </c>
      <c r="E564" s="361" t="s">
        <v>4</v>
      </c>
      <c r="F564" s="361"/>
      <c r="G564" s="81">
        <v>1</v>
      </c>
      <c r="H564" s="82"/>
    </row>
    <row r="565" spans="1:8" x14ac:dyDescent="0.25">
      <c r="A565" s="1" t="s">
        <v>813</v>
      </c>
      <c r="B565" s="2" t="s">
        <v>89</v>
      </c>
      <c r="C565" s="2" t="s">
        <v>814</v>
      </c>
      <c r="D565" s="259" t="s">
        <v>815</v>
      </c>
      <c r="E565" s="259"/>
      <c r="F565" s="2" t="s">
        <v>63</v>
      </c>
      <c r="G565" s="37">
        <v>3990.0394000000001</v>
      </c>
      <c r="H565" s="38">
        <v>0</v>
      </c>
    </row>
    <row r="566" spans="1:8" x14ac:dyDescent="0.25">
      <c r="A566" s="69"/>
      <c r="D566" s="80" t="s">
        <v>1367</v>
      </c>
      <c r="E566" s="361" t="s">
        <v>4</v>
      </c>
      <c r="F566" s="361"/>
      <c r="G566" s="81">
        <v>3990.0394000000001</v>
      </c>
      <c r="H566" s="82"/>
    </row>
    <row r="567" spans="1:8" x14ac:dyDescent="0.25">
      <c r="A567" s="1" t="s">
        <v>816</v>
      </c>
      <c r="B567" s="2" t="s">
        <v>89</v>
      </c>
      <c r="C567" s="2" t="s">
        <v>817</v>
      </c>
      <c r="D567" s="259" t="s">
        <v>818</v>
      </c>
      <c r="E567" s="259"/>
      <c r="F567" s="2" t="s">
        <v>313</v>
      </c>
      <c r="G567" s="37">
        <v>5.5</v>
      </c>
      <c r="H567" s="38">
        <v>0</v>
      </c>
    </row>
    <row r="568" spans="1:8" x14ac:dyDescent="0.25">
      <c r="A568" s="69"/>
      <c r="D568" s="80" t="s">
        <v>1368</v>
      </c>
      <c r="E568" s="361" t="s">
        <v>4</v>
      </c>
      <c r="F568" s="361"/>
      <c r="G568" s="81">
        <v>5.5</v>
      </c>
      <c r="H568" s="82"/>
    </row>
    <row r="569" spans="1:8" x14ac:dyDescent="0.25">
      <c r="A569" s="1" t="s">
        <v>820</v>
      </c>
      <c r="B569" s="2" t="s">
        <v>89</v>
      </c>
      <c r="C569" s="2" t="s">
        <v>821</v>
      </c>
      <c r="D569" s="259" t="s">
        <v>822</v>
      </c>
      <c r="E569" s="259"/>
      <c r="F569" s="2" t="s">
        <v>313</v>
      </c>
      <c r="G569" s="37">
        <v>10.69</v>
      </c>
      <c r="H569" s="38">
        <v>0</v>
      </c>
    </row>
    <row r="570" spans="1:8" x14ac:dyDescent="0.25">
      <c r="A570" s="69"/>
      <c r="D570" s="80" t="s">
        <v>1369</v>
      </c>
      <c r="E570" s="361" t="s">
        <v>4</v>
      </c>
      <c r="F570" s="361"/>
      <c r="G570" s="81">
        <v>10.69</v>
      </c>
      <c r="H570" s="82"/>
    </row>
    <row r="571" spans="1:8" x14ac:dyDescent="0.25">
      <c r="A571" s="1" t="s">
        <v>823</v>
      </c>
      <c r="B571" s="2" t="s">
        <v>89</v>
      </c>
      <c r="C571" s="2" t="s">
        <v>824</v>
      </c>
      <c r="D571" s="259" t="s">
        <v>825</v>
      </c>
      <c r="E571" s="259"/>
      <c r="F571" s="2" t="s">
        <v>313</v>
      </c>
      <c r="G571" s="37">
        <v>5.15</v>
      </c>
      <c r="H571" s="38">
        <v>0</v>
      </c>
    </row>
    <row r="572" spans="1:8" x14ac:dyDescent="0.25">
      <c r="A572" s="69"/>
      <c r="D572" s="80" t="s">
        <v>1370</v>
      </c>
      <c r="E572" s="361" t="s">
        <v>4</v>
      </c>
      <c r="F572" s="361"/>
      <c r="G572" s="81">
        <v>5.15</v>
      </c>
      <c r="H572" s="82"/>
    </row>
    <row r="573" spans="1:8" x14ac:dyDescent="0.25">
      <c r="A573" s="1" t="s">
        <v>826</v>
      </c>
      <c r="B573" s="2" t="s">
        <v>89</v>
      </c>
      <c r="C573" s="2" t="s">
        <v>827</v>
      </c>
      <c r="D573" s="259" t="s">
        <v>828</v>
      </c>
      <c r="E573" s="259"/>
      <c r="F573" s="2" t="s">
        <v>63</v>
      </c>
      <c r="G573" s="37">
        <v>946.07140000000004</v>
      </c>
      <c r="H573" s="38">
        <v>0</v>
      </c>
    </row>
    <row r="574" spans="1:8" x14ac:dyDescent="0.25">
      <c r="A574" s="69"/>
      <c r="D574" s="80" t="s">
        <v>1371</v>
      </c>
      <c r="E574" s="361" t="s">
        <v>4</v>
      </c>
      <c r="F574" s="361"/>
      <c r="G574" s="81">
        <v>946.07140000000004</v>
      </c>
      <c r="H574" s="82"/>
    </row>
    <row r="575" spans="1:8" x14ac:dyDescent="0.25">
      <c r="A575" s="1" t="s">
        <v>829</v>
      </c>
      <c r="B575" s="2" t="s">
        <v>89</v>
      </c>
      <c r="C575" s="2" t="s">
        <v>830</v>
      </c>
      <c r="D575" s="259" t="s">
        <v>831</v>
      </c>
      <c r="E575" s="259"/>
      <c r="F575" s="2" t="s">
        <v>251</v>
      </c>
      <c r="G575" s="37">
        <v>2.75</v>
      </c>
      <c r="H575" s="38">
        <v>0</v>
      </c>
    </row>
    <row r="576" spans="1:8" x14ac:dyDescent="0.25">
      <c r="A576" s="69"/>
      <c r="D576" s="80" t="s">
        <v>1275</v>
      </c>
      <c r="E576" s="361" t="s">
        <v>4</v>
      </c>
      <c r="F576" s="361"/>
      <c r="G576" s="81">
        <v>2.75</v>
      </c>
      <c r="H576" s="82"/>
    </row>
    <row r="577" spans="1:8" x14ac:dyDescent="0.25">
      <c r="A577" s="1" t="s">
        <v>834</v>
      </c>
      <c r="B577" s="2" t="s">
        <v>89</v>
      </c>
      <c r="C577" s="2" t="s">
        <v>835</v>
      </c>
      <c r="D577" s="259" t="s">
        <v>836</v>
      </c>
      <c r="E577" s="259"/>
      <c r="F577" s="2" t="s">
        <v>251</v>
      </c>
      <c r="G577" s="37">
        <v>2.75</v>
      </c>
      <c r="H577" s="38">
        <v>0</v>
      </c>
    </row>
    <row r="578" spans="1:8" x14ac:dyDescent="0.25">
      <c r="A578" s="69"/>
      <c r="D578" s="80" t="s">
        <v>1275</v>
      </c>
      <c r="E578" s="361" t="s">
        <v>4</v>
      </c>
      <c r="F578" s="361"/>
      <c r="G578" s="81">
        <v>2.75</v>
      </c>
      <c r="H578" s="82"/>
    </row>
    <row r="579" spans="1:8" x14ac:dyDescent="0.25">
      <c r="A579" s="1" t="s">
        <v>837</v>
      </c>
      <c r="B579" s="2" t="s">
        <v>89</v>
      </c>
      <c r="C579" s="2" t="s">
        <v>838</v>
      </c>
      <c r="D579" s="259" t="s">
        <v>839</v>
      </c>
      <c r="E579" s="259"/>
      <c r="F579" s="2" t="s">
        <v>251</v>
      </c>
      <c r="G579" s="37">
        <v>0.39204</v>
      </c>
      <c r="H579" s="38">
        <v>0</v>
      </c>
    </row>
    <row r="580" spans="1:8" x14ac:dyDescent="0.25">
      <c r="A580" s="69"/>
      <c r="D580" s="80" t="s">
        <v>1275</v>
      </c>
      <c r="E580" s="361" t="s">
        <v>4</v>
      </c>
      <c r="F580" s="361"/>
      <c r="G580" s="81">
        <v>2.75</v>
      </c>
      <c r="H580" s="82"/>
    </row>
    <row r="581" spans="1:8" x14ac:dyDescent="0.25">
      <c r="A581" s="1" t="s">
        <v>840</v>
      </c>
      <c r="B581" s="2" t="s">
        <v>89</v>
      </c>
      <c r="C581" s="2" t="s">
        <v>841</v>
      </c>
      <c r="D581" s="259" t="s">
        <v>842</v>
      </c>
      <c r="E581" s="259"/>
      <c r="F581" s="2" t="s">
        <v>63</v>
      </c>
      <c r="G581" s="37">
        <v>24.569900000000001</v>
      </c>
      <c r="H581" s="38">
        <v>0</v>
      </c>
    </row>
    <row r="582" spans="1:8" x14ac:dyDescent="0.25">
      <c r="A582" s="69"/>
      <c r="D582" s="80" t="s">
        <v>1372</v>
      </c>
      <c r="E582" s="361" t="s">
        <v>4</v>
      </c>
      <c r="F582" s="361"/>
      <c r="G582" s="81">
        <v>24.569900000000001</v>
      </c>
      <c r="H582" s="82"/>
    </row>
    <row r="583" spans="1:8" x14ac:dyDescent="0.25">
      <c r="A583" s="1" t="s">
        <v>843</v>
      </c>
      <c r="B583" s="2" t="s">
        <v>89</v>
      </c>
      <c r="C583" s="2" t="s">
        <v>844</v>
      </c>
      <c r="D583" s="259" t="s">
        <v>845</v>
      </c>
      <c r="E583" s="259"/>
      <c r="F583" s="2" t="s">
        <v>251</v>
      </c>
      <c r="G583" s="37">
        <v>36.6</v>
      </c>
      <c r="H583" s="38">
        <v>0</v>
      </c>
    </row>
    <row r="584" spans="1:8" x14ac:dyDescent="0.25">
      <c r="A584" s="69"/>
      <c r="D584" s="80" t="s">
        <v>1272</v>
      </c>
      <c r="E584" s="361" t="s">
        <v>4</v>
      </c>
      <c r="F584" s="361"/>
      <c r="G584" s="81">
        <v>13.21</v>
      </c>
      <c r="H584" s="82"/>
    </row>
    <row r="585" spans="1:8" x14ac:dyDescent="0.25">
      <c r="A585" s="1" t="s">
        <v>4</v>
      </c>
      <c r="B585" s="2" t="s">
        <v>4</v>
      </c>
      <c r="C585" s="2" t="s">
        <v>4</v>
      </c>
      <c r="D585" s="80" t="s">
        <v>1273</v>
      </c>
      <c r="E585" s="361" t="s">
        <v>4</v>
      </c>
      <c r="F585" s="361"/>
      <c r="G585" s="81">
        <v>16.43</v>
      </c>
      <c r="H585" s="67" t="s">
        <v>4</v>
      </c>
    </row>
    <row r="586" spans="1:8" x14ac:dyDescent="0.25">
      <c r="A586" s="1" t="s">
        <v>4</v>
      </c>
      <c r="B586" s="2" t="s">
        <v>4</v>
      </c>
      <c r="C586" s="2" t="s">
        <v>4</v>
      </c>
      <c r="D586" s="80" t="s">
        <v>1274</v>
      </c>
      <c r="E586" s="361" t="s">
        <v>4</v>
      </c>
      <c r="F586" s="361"/>
      <c r="G586" s="81">
        <v>6.96</v>
      </c>
      <c r="H586" s="67" t="s">
        <v>4</v>
      </c>
    </row>
    <row r="587" spans="1:8" x14ac:dyDescent="0.25">
      <c r="A587" s="1" t="s">
        <v>847</v>
      </c>
      <c r="B587" s="2" t="s">
        <v>89</v>
      </c>
      <c r="C587" s="2" t="s">
        <v>848</v>
      </c>
      <c r="D587" s="259" t="s">
        <v>849</v>
      </c>
      <c r="E587" s="259"/>
      <c r="F587" s="2" t="s">
        <v>251</v>
      </c>
      <c r="G587" s="37">
        <v>36.6</v>
      </c>
      <c r="H587" s="38">
        <v>0</v>
      </c>
    </row>
    <row r="588" spans="1:8" x14ac:dyDescent="0.25">
      <c r="A588" s="69"/>
      <c r="D588" s="80" t="s">
        <v>1272</v>
      </c>
      <c r="E588" s="361" t="s">
        <v>4</v>
      </c>
      <c r="F588" s="361"/>
      <c r="G588" s="81">
        <v>13.21</v>
      </c>
      <c r="H588" s="82"/>
    </row>
    <row r="589" spans="1:8" x14ac:dyDescent="0.25">
      <c r="A589" s="1" t="s">
        <v>4</v>
      </c>
      <c r="B589" s="2" t="s">
        <v>4</v>
      </c>
      <c r="C589" s="2" t="s">
        <v>4</v>
      </c>
      <c r="D589" s="80" t="s">
        <v>1273</v>
      </c>
      <c r="E589" s="361" t="s">
        <v>4</v>
      </c>
      <c r="F589" s="361"/>
      <c r="G589" s="81">
        <v>16.43</v>
      </c>
      <c r="H589" s="67" t="s">
        <v>4</v>
      </c>
    </row>
    <row r="590" spans="1:8" x14ac:dyDescent="0.25">
      <c r="A590" s="1" t="s">
        <v>4</v>
      </c>
      <c r="B590" s="2" t="s">
        <v>4</v>
      </c>
      <c r="C590" s="2" t="s">
        <v>4</v>
      </c>
      <c r="D590" s="80" t="s">
        <v>1274</v>
      </c>
      <c r="E590" s="361" t="s">
        <v>4</v>
      </c>
      <c r="F590" s="361"/>
      <c r="G590" s="81">
        <v>6.96</v>
      </c>
      <c r="H590" s="67" t="s">
        <v>4</v>
      </c>
    </row>
    <row r="591" spans="1:8" x14ac:dyDescent="0.25">
      <c r="A591" s="1" t="s">
        <v>850</v>
      </c>
      <c r="B591" s="2" t="s">
        <v>89</v>
      </c>
      <c r="C591" s="2" t="s">
        <v>851</v>
      </c>
      <c r="D591" s="259" t="s">
        <v>852</v>
      </c>
      <c r="E591" s="259"/>
      <c r="F591" s="2" t="s">
        <v>251</v>
      </c>
      <c r="G591" s="37">
        <v>36.6</v>
      </c>
      <c r="H591" s="38">
        <v>0</v>
      </c>
    </row>
    <row r="592" spans="1:8" x14ac:dyDescent="0.25">
      <c r="A592" s="69"/>
      <c r="D592" s="80" t="s">
        <v>1272</v>
      </c>
      <c r="E592" s="361" t="s">
        <v>4</v>
      </c>
      <c r="F592" s="361"/>
      <c r="G592" s="81">
        <v>13.21</v>
      </c>
      <c r="H592" s="82"/>
    </row>
    <row r="593" spans="1:8" x14ac:dyDescent="0.25">
      <c r="A593" s="1" t="s">
        <v>4</v>
      </c>
      <c r="B593" s="2" t="s">
        <v>4</v>
      </c>
      <c r="C593" s="2" t="s">
        <v>4</v>
      </c>
      <c r="D593" s="80" t="s">
        <v>1273</v>
      </c>
      <c r="E593" s="361" t="s">
        <v>4</v>
      </c>
      <c r="F593" s="361"/>
      <c r="G593" s="81">
        <v>16.43</v>
      </c>
      <c r="H593" s="67" t="s">
        <v>4</v>
      </c>
    </row>
    <row r="594" spans="1:8" x14ac:dyDescent="0.25">
      <c r="A594" s="1" t="s">
        <v>4</v>
      </c>
      <c r="B594" s="2" t="s">
        <v>4</v>
      </c>
      <c r="C594" s="2" t="s">
        <v>4</v>
      </c>
      <c r="D594" s="80" t="s">
        <v>1274</v>
      </c>
      <c r="E594" s="361" t="s">
        <v>4</v>
      </c>
      <c r="F594" s="361"/>
      <c r="G594" s="81">
        <v>6.96</v>
      </c>
      <c r="H594" s="67" t="s">
        <v>4</v>
      </c>
    </row>
    <row r="595" spans="1:8" x14ac:dyDescent="0.25">
      <c r="A595" s="1" t="s">
        <v>853</v>
      </c>
      <c r="B595" s="2" t="s">
        <v>89</v>
      </c>
      <c r="C595" s="2" t="s">
        <v>854</v>
      </c>
      <c r="D595" s="259" t="s">
        <v>855</v>
      </c>
      <c r="E595" s="259"/>
      <c r="F595" s="2" t="s">
        <v>251</v>
      </c>
      <c r="G595" s="37">
        <v>36.6</v>
      </c>
      <c r="H595" s="38">
        <v>0</v>
      </c>
    </row>
    <row r="596" spans="1:8" x14ac:dyDescent="0.25">
      <c r="A596" s="69"/>
      <c r="D596" s="80" t="s">
        <v>1272</v>
      </c>
      <c r="E596" s="361" t="s">
        <v>4</v>
      </c>
      <c r="F596" s="361"/>
      <c r="G596" s="81">
        <v>13.21</v>
      </c>
      <c r="H596" s="82"/>
    </row>
    <row r="597" spans="1:8" x14ac:dyDescent="0.25">
      <c r="A597" s="1" t="s">
        <v>4</v>
      </c>
      <c r="B597" s="2" t="s">
        <v>4</v>
      </c>
      <c r="C597" s="2" t="s">
        <v>4</v>
      </c>
      <c r="D597" s="80" t="s">
        <v>1273</v>
      </c>
      <c r="E597" s="361" t="s">
        <v>4</v>
      </c>
      <c r="F597" s="361"/>
      <c r="G597" s="81">
        <v>16.43</v>
      </c>
      <c r="H597" s="67" t="s">
        <v>4</v>
      </c>
    </row>
    <row r="598" spans="1:8" x14ac:dyDescent="0.25">
      <c r="A598" s="1" t="s">
        <v>4</v>
      </c>
      <c r="B598" s="2" t="s">
        <v>4</v>
      </c>
      <c r="C598" s="2" t="s">
        <v>4</v>
      </c>
      <c r="D598" s="80" t="s">
        <v>1274</v>
      </c>
      <c r="E598" s="361" t="s">
        <v>4</v>
      </c>
      <c r="F598" s="361"/>
      <c r="G598" s="81">
        <v>6.96</v>
      </c>
      <c r="H598" s="67" t="s">
        <v>4</v>
      </c>
    </row>
    <row r="599" spans="1:8" x14ac:dyDescent="0.25">
      <c r="A599" s="1" t="s">
        <v>856</v>
      </c>
      <c r="B599" s="2" t="s">
        <v>89</v>
      </c>
      <c r="C599" s="2" t="s">
        <v>857</v>
      </c>
      <c r="D599" s="259" t="s">
        <v>858</v>
      </c>
      <c r="E599" s="259"/>
      <c r="F599" s="2" t="s">
        <v>63</v>
      </c>
      <c r="G599" s="37">
        <v>370.79090000000002</v>
      </c>
      <c r="H599" s="38">
        <v>0</v>
      </c>
    </row>
    <row r="600" spans="1:8" x14ac:dyDescent="0.25">
      <c r="A600" s="69"/>
      <c r="D600" s="80" t="s">
        <v>1373</v>
      </c>
      <c r="E600" s="361" t="s">
        <v>4</v>
      </c>
      <c r="F600" s="361"/>
      <c r="G600" s="81">
        <v>370.79090000000002</v>
      </c>
      <c r="H600" s="82"/>
    </row>
    <row r="601" spans="1:8" x14ac:dyDescent="0.25">
      <c r="A601" s="1" t="s">
        <v>859</v>
      </c>
      <c r="B601" s="2" t="s">
        <v>89</v>
      </c>
      <c r="C601" s="2" t="s">
        <v>860</v>
      </c>
      <c r="D601" s="259" t="s">
        <v>861</v>
      </c>
      <c r="E601" s="259"/>
      <c r="F601" s="2" t="s">
        <v>251</v>
      </c>
      <c r="G601" s="37">
        <v>42.311999999999998</v>
      </c>
      <c r="H601" s="38">
        <v>0</v>
      </c>
    </row>
    <row r="602" spans="1:8" x14ac:dyDescent="0.25">
      <c r="A602" s="69"/>
      <c r="D602" s="80" t="s">
        <v>1374</v>
      </c>
      <c r="E602" s="361" t="s">
        <v>4</v>
      </c>
      <c r="F602" s="361"/>
      <c r="G602" s="81">
        <v>4.4379999999999997</v>
      </c>
      <c r="H602" s="82"/>
    </row>
    <row r="603" spans="1:8" x14ac:dyDescent="0.25">
      <c r="A603" s="1" t="s">
        <v>4</v>
      </c>
      <c r="B603" s="2" t="s">
        <v>4</v>
      </c>
      <c r="C603" s="2" t="s">
        <v>4</v>
      </c>
      <c r="D603" s="80" t="s">
        <v>1375</v>
      </c>
      <c r="E603" s="361" t="s">
        <v>4</v>
      </c>
      <c r="F603" s="361"/>
      <c r="G603" s="81">
        <v>37.874000000000002</v>
      </c>
      <c r="H603" s="67" t="s">
        <v>4</v>
      </c>
    </row>
    <row r="604" spans="1:8" x14ac:dyDescent="0.25">
      <c r="A604" s="1" t="s">
        <v>864</v>
      </c>
      <c r="B604" s="2" t="s">
        <v>89</v>
      </c>
      <c r="C604" s="2" t="s">
        <v>865</v>
      </c>
      <c r="D604" s="259" t="s">
        <v>866</v>
      </c>
      <c r="E604" s="259"/>
      <c r="F604" s="2" t="s">
        <v>251</v>
      </c>
      <c r="G604" s="37">
        <v>42.311999999999998</v>
      </c>
      <c r="H604" s="38">
        <v>0</v>
      </c>
    </row>
    <row r="605" spans="1:8" x14ac:dyDescent="0.25">
      <c r="A605" s="69"/>
      <c r="D605" s="80" t="s">
        <v>1376</v>
      </c>
      <c r="E605" s="361" t="s">
        <v>4</v>
      </c>
      <c r="F605" s="361"/>
      <c r="G605" s="81">
        <v>42.311999999999998</v>
      </c>
      <c r="H605" s="82"/>
    </row>
    <row r="606" spans="1:8" x14ac:dyDescent="0.25">
      <c r="A606" s="1" t="s">
        <v>867</v>
      </c>
      <c r="B606" s="2" t="s">
        <v>89</v>
      </c>
      <c r="C606" s="2" t="s">
        <v>868</v>
      </c>
      <c r="D606" s="259" t="s">
        <v>869</v>
      </c>
      <c r="E606" s="259"/>
      <c r="F606" s="2" t="s">
        <v>251</v>
      </c>
      <c r="G606" s="37">
        <v>42.311999999999998</v>
      </c>
      <c r="H606" s="38">
        <v>0</v>
      </c>
    </row>
    <row r="607" spans="1:8" x14ac:dyDescent="0.25">
      <c r="A607" s="69"/>
      <c r="D607" s="80" t="s">
        <v>1376</v>
      </c>
      <c r="E607" s="361" t="s">
        <v>4</v>
      </c>
      <c r="F607" s="361"/>
      <c r="G607" s="81">
        <v>42.311999999999998</v>
      </c>
      <c r="H607" s="82"/>
    </row>
    <row r="608" spans="1:8" x14ac:dyDescent="0.25">
      <c r="A608" s="1" t="s">
        <v>870</v>
      </c>
      <c r="B608" s="2" t="s">
        <v>89</v>
      </c>
      <c r="C608" s="2" t="s">
        <v>871</v>
      </c>
      <c r="D608" s="259" t="s">
        <v>872</v>
      </c>
      <c r="E608" s="259"/>
      <c r="F608" s="2" t="s">
        <v>251</v>
      </c>
      <c r="G608" s="37">
        <v>42.311999999999998</v>
      </c>
      <c r="H608" s="38">
        <v>0</v>
      </c>
    </row>
    <row r="609" spans="1:8" x14ac:dyDescent="0.25">
      <c r="A609" s="69"/>
      <c r="D609" s="80" t="s">
        <v>1376</v>
      </c>
      <c r="E609" s="361" t="s">
        <v>4</v>
      </c>
      <c r="F609" s="361"/>
      <c r="G609" s="81">
        <v>42.311999999999998</v>
      </c>
      <c r="H609" s="82"/>
    </row>
    <row r="610" spans="1:8" x14ac:dyDescent="0.25">
      <c r="A610" s="1" t="s">
        <v>873</v>
      </c>
      <c r="B610" s="2" t="s">
        <v>89</v>
      </c>
      <c r="C610" s="2" t="s">
        <v>874</v>
      </c>
      <c r="D610" s="259" t="s">
        <v>875</v>
      </c>
      <c r="E610" s="259"/>
      <c r="F610" s="2" t="s">
        <v>251</v>
      </c>
      <c r="G610" s="37">
        <v>48.658799999999999</v>
      </c>
      <c r="H610" s="38">
        <v>0</v>
      </c>
    </row>
    <row r="611" spans="1:8" x14ac:dyDescent="0.25">
      <c r="A611" s="69"/>
      <c r="D611" s="80" t="s">
        <v>1376</v>
      </c>
      <c r="E611" s="361" t="s">
        <v>4</v>
      </c>
      <c r="F611" s="361"/>
      <c r="G611" s="81">
        <v>42.311999999999998</v>
      </c>
      <c r="H611" s="82"/>
    </row>
    <row r="612" spans="1:8" x14ac:dyDescent="0.25">
      <c r="A612" s="1" t="s">
        <v>4</v>
      </c>
      <c r="B612" s="2" t="s">
        <v>4</v>
      </c>
      <c r="C612" s="2" t="s">
        <v>4</v>
      </c>
      <c r="D612" s="80" t="s">
        <v>1377</v>
      </c>
      <c r="E612" s="361" t="s">
        <v>4</v>
      </c>
      <c r="F612" s="361"/>
      <c r="G612" s="81">
        <v>6.3468</v>
      </c>
      <c r="H612" s="67" t="s">
        <v>4</v>
      </c>
    </row>
    <row r="613" spans="1:8" x14ac:dyDescent="0.25">
      <c r="A613" s="1" t="s">
        <v>876</v>
      </c>
      <c r="B613" s="2" t="s">
        <v>89</v>
      </c>
      <c r="C613" s="2" t="s">
        <v>877</v>
      </c>
      <c r="D613" s="259" t="s">
        <v>878</v>
      </c>
      <c r="E613" s="259"/>
      <c r="F613" s="2" t="s">
        <v>63</v>
      </c>
      <c r="G613" s="37">
        <v>751.36170000000004</v>
      </c>
      <c r="H613" s="38">
        <v>0</v>
      </c>
    </row>
    <row r="614" spans="1:8" x14ac:dyDescent="0.25">
      <c r="A614" s="69"/>
      <c r="D614" s="80" t="s">
        <v>1378</v>
      </c>
      <c r="E614" s="361" t="s">
        <v>4</v>
      </c>
      <c r="F614" s="361"/>
      <c r="G614" s="81">
        <v>751.36170000000004</v>
      </c>
      <c r="H614" s="82"/>
    </row>
    <row r="615" spans="1:8" x14ac:dyDescent="0.25">
      <c r="A615" s="1" t="s">
        <v>879</v>
      </c>
      <c r="B615" s="2" t="s">
        <v>89</v>
      </c>
      <c r="C615" s="2" t="s">
        <v>880</v>
      </c>
      <c r="D615" s="259" t="s">
        <v>881</v>
      </c>
      <c r="E615" s="259"/>
      <c r="F615" s="2" t="s">
        <v>251</v>
      </c>
      <c r="G615" s="37">
        <v>4.242</v>
      </c>
      <c r="H615" s="38">
        <v>0</v>
      </c>
    </row>
    <row r="616" spans="1:8" x14ac:dyDescent="0.25">
      <c r="A616" s="69"/>
      <c r="D616" s="80" t="s">
        <v>1379</v>
      </c>
      <c r="E616" s="361" t="s">
        <v>1279</v>
      </c>
      <c r="F616" s="361"/>
      <c r="G616" s="81">
        <v>4.242</v>
      </c>
      <c r="H616" s="82"/>
    </row>
    <row r="617" spans="1:8" x14ac:dyDescent="0.25">
      <c r="A617" s="1" t="s">
        <v>883</v>
      </c>
      <c r="B617" s="2" t="s">
        <v>89</v>
      </c>
      <c r="C617" s="2" t="s">
        <v>884</v>
      </c>
      <c r="D617" s="259" t="s">
        <v>885</v>
      </c>
      <c r="E617" s="259"/>
      <c r="F617" s="2" t="s">
        <v>251</v>
      </c>
      <c r="G617" s="37">
        <v>7.3103199999999999</v>
      </c>
      <c r="H617" s="38">
        <v>0</v>
      </c>
    </row>
    <row r="618" spans="1:8" x14ac:dyDescent="0.25">
      <c r="A618" s="69"/>
      <c r="D618" s="80" t="s">
        <v>1380</v>
      </c>
      <c r="E618" s="361" t="s">
        <v>1381</v>
      </c>
      <c r="F618" s="361"/>
      <c r="G618" s="81">
        <v>2.77704</v>
      </c>
      <c r="H618" s="82"/>
    </row>
    <row r="619" spans="1:8" x14ac:dyDescent="0.25">
      <c r="A619" s="1" t="s">
        <v>4</v>
      </c>
      <c r="B619" s="2" t="s">
        <v>4</v>
      </c>
      <c r="C619" s="2" t="s">
        <v>4</v>
      </c>
      <c r="D619" s="80" t="s">
        <v>1382</v>
      </c>
      <c r="E619" s="361" t="s">
        <v>1383</v>
      </c>
      <c r="F619" s="361"/>
      <c r="G619" s="81">
        <v>1.97664</v>
      </c>
      <c r="H619" s="67" t="s">
        <v>4</v>
      </c>
    </row>
    <row r="620" spans="1:8" x14ac:dyDescent="0.25">
      <c r="A620" s="1" t="s">
        <v>4</v>
      </c>
      <c r="B620" s="2" t="s">
        <v>4</v>
      </c>
      <c r="C620" s="2" t="s">
        <v>4</v>
      </c>
      <c r="D620" s="80" t="s">
        <v>1384</v>
      </c>
      <c r="E620" s="361" t="s">
        <v>1385</v>
      </c>
      <c r="F620" s="361"/>
      <c r="G620" s="81">
        <v>2.5566399999999998</v>
      </c>
      <c r="H620" s="67" t="s">
        <v>4</v>
      </c>
    </row>
    <row r="621" spans="1:8" x14ac:dyDescent="0.25">
      <c r="A621" s="1" t="s">
        <v>886</v>
      </c>
      <c r="B621" s="2" t="s">
        <v>89</v>
      </c>
      <c r="C621" s="2" t="s">
        <v>887</v>
      </c>
      <c r="D621" s="259" t="s">
        <v>888</v>
      </c>
      <c r="E621" s="259"/>
      <c r="F621" s="2" t="s">
        <v>251</v>
      </c>
      <c r="G621" s="37">
        <v>198.97</v>
      </c>
      <c r="H621" s="38">
        <v>0</v>
      </c>
    </row>
    <row r="622" spans="1:8" x14ac:dyDescent="0.25">
      <c r="A622" s="69"/>
      <c r="D622" s="80" t="s">
        <v>1386</v>
      </c>
      <c r="E622" s="361" t="s">
        <v>4</v>
      </c>
      <c r="F622" s="361"/>
      <c r="G622" s="81">
        <v>198.97</v>
      </c>
      <c r="H622" s="82"/>
    </row>
    <row r="623" spans="1:8" x14ac:dyDescent="0.25">
      <c r="A623" s="1" t="s">
        <v>890</v>
      </c>
      <c r="B623" s="2" t="s">
        <v>89</v>
      </c>
      <c r="C623" s="2" t="s">
        <v>891</v>
      </c>
      <c r="D623" s="259" t="s">
        <v>892</v>
      </c>
      <c r="E623" s="259"/>
      <c r="F623" s="2" t="s">
        <v>251</v>
      </c>
      <c r="G623" s="37">
        <v>176.10040000000001</v>
      </c>
      <c r="H623" s="38">
        <v>0</v>
      </c>
    </row>
    <row r="624" spans="1:8" x14ac:dyDescent="0.25">
      <c r="A624" s="69"/>
      <c r="D624" s="80" t="s">
        <v>1387</v>
      </c>
      <c r="E624" s="361" t="s">
        <v>4</v>
      </c>
      <c r="F624" s="361"/>
      <c r="G624" s="81">
        <v>104.57</v>
      </c>
      <c r="H624" s="82"/>
    </row>
    <row r="625" spans="1:8" x14ac:dyDescent="0.25">
      <c r="A625" s="1" t="s">
        <v>4</v>
      </c>
      <c r="B625" s="2" t="s">
        <v>4</v>
      </c>
      <c r="C625" s="2" t="s">
        <v>4</v>
      </c>
      <c r="D625" s="80" t="s">
        <v>1388</v>
      </c>
      <c r="E625" s="361" t="s">
        <v>4</v>
      </c>
      <c r="F625" s="361"/>
      <c r="G625" s="81">
        <v>71.5304</v>
      </c>
      <c r="H625" s="67" t="s">
        <v>4</v>
      </c>
    </row>
    <row r="626" spans="1:8" x14ac:dyDescent="0.25">
      <c r="A626" s="1" t="s">
        <v>893</v>
      </c>
      <c r="B626" s="2" t="s">
        <v>89</v>
      </c>
      <c r="C626" s="2" t="s">
        <v>894</v>
      </c>
      <c r="D626" s="259" t="s">
        <v>895</v>
      </c>
      <c r="E626" s="259"/>
      <c r="F626" s="2" t="s">
        <v>251</v>
      </c>
      <c r="G626" s="37">
        <v>176.10040000000001</v>
      </c>
      <c r="H626" s="38">
        <v>0</v>
      </c>
    </row>
    <row r="627" spans="1:8" x14ac:dyDescent="0.25">
      <c r="A627" s="69"/>
      <c r="D627" s="80" t="s">
        <v>1389</v>
      </c>
      <c r="E627" s="361" t="s">
        <v>4</v>
      </c>
      <c r="F627" s="361"/>
      <c r="G627" s="81">
        <v>176.10040000000001</v>
      </c>
      <c r="H627" s="82"/>
    </row>
    <row r="628" spans="1:8" x14ac:dyDescent="0.25">
      <c r="A628" s="1" t="s">
        <v>896</v>
      </c>
      <c r="B628" s="2" t="s">
        <v>89</v>
      </c>
      <c r="C628" s="2" t="s">
        <v>897</v>
      </c>
      <c r="D628" s="259" t="s">
        <v>898</v>
      </c>
      <c r="E628" s="259"/>
      <c r="F628" s="2" t="s">
        <v>251</v>
      </c>
      <c r="G628" s="37">
        <v>99.090999999999994</v>
      </c>
      <c r="H628" s="38">
        <v>0</v>
      </c>
    </row>
    <row r="629" spans="1:8" x14ac:dyDescent="0.25">
      <c r="A629" s="69"/>
      <c r="D629" s="80" t="s">
        <v>1390</v>
      </c>
      <c r="E629" s="361" t="s">
        <v>4</v>
      </c>
      <c r="F629" s="361"/>
      <c r="G629" s="81">
        <v>99.090999999999994</v>
      </c>
      <c r="H629" s="82"/>
    </row>
    <row r="630" spans="1:8" x14ac:dyDescent="0.25">
      <c r="A630" s="1" t="s">
        <v>899</v>
      </c>
      <c r="B630" s="2" t="s">
        <v>89</v>
      </c>
      <c r="C630" s="2" t="s">
        <v>900</v>
      </c>
      <c r="D630" s="259" t="s">
        <v>901</v>
      </c>
      <c r="E630" s="259"/>
      <c r="F630" s="2" t="s">
        <v>251</v>
      </c>
      <c r="G630" s="37">
        <v>99.090999999999994</v>
      </c>
      <c r="H630" s="38">
        <v>0</v>
      </c>
    </row>
    <row r="631" spans="1:8" x14ac:dyDescent="0.25">
      <c r="A631" s="69"/>
      <c r="D631" s="80" t="s">
        <v>1391</v>
      </c>
      <c r="E631" s="361" t="s">
        <v>4</v>
      </c>
      <c r="F631" s="361"/>
      <c r="G631" s="81">
        <v>99.090999999999994</v>
      </c>
      <c r="H631" s="82"/>
    </row>
    <row r="632" spans="1:8" x14ac:dyDescent="0.25">
      <c r="A632" s="1" t="s">
        <v>902</v>
      </c>
      <c r="B632" s="2" t="s">
        <v>89</v>
      </c>
      <c r="C632" s="2" t="s">
        <v>903</v>
      </c>
      <c r="D632" s="259" t="s">
        <v>904</v>
      </c>
      <c r="E632" s="259"/>
      <c r="F632" s="2" t="s">
        <v>251</v>
      </c>
      <c r="G632" s="37">
        <v>25.8675</v>
      </c>
      <c r="H632" s="38">
        <v>0</v>
      </c>
    </row>
    <row r="633" spans="1:8" x14ac:dyDescent="0.25">
      <c r="A633" s="69"/>
      <c r="D633" s="80" t="s">
        <v>1255</v>
      </c>
      <c r="E633" s="361" t="s">
        <v>1285</v>
      </c>
      <c r="F633" s="361"/>
      <c r="G633" s="81">
        <v>1.8</v>
      </c>
      <c r="H633" s="82"/>
    </row>
    <row r="634" spans="1:8" x14ac:dyDescent="0.25">
      <c r="A634" s="1" t="s">
        <v>4</v>
      </c>
      <c r="B634" s="2" t="s">
        <v>4</v>
      </c>
      <c r="C634" s="2" t="s">
        <v>4</v>
      </c>
      <c r="D634" s="80" t="s">
        <v>1259</v>
      </c>
      <c r="E634" s="361" t="s">
        <v>1291</v>
      </c>
      <c r="F634" s="361"/>
      <c r="G634" s="81">
        <v>6.27</v>
      </c>
      <c r="H634" s="67" t="s">
        <v>4</v>
      </c>
    </row>
    <row r="635" spans="1:8" x14ac:dyDescent="0.25">
      <c r="A635" s="1" t="s">
        <v>4</v>
      </c>
      <c r="B635" s="2" t="s">
        <v>4</v>
      </c>
      <c r="C635" s="2" t="s">
        <v>4</v>
      </c>
      <c r="D635" s="80" t="s">
        <v>1261</v>
      </c>
      <c r="E635" s="361" t="s">
        <v>1293</v>
      </c>
      <c r="F635" s="361"/>
      <c r="G635" s="81">
        <v>2.34</v>
      </c>
      <c r="H635" s="67" t="s">
        <v>4</v>
      </c>
    </row>
    <row r="636" spans="1:8" x14ac:dyDescent="0.25">
      <c r="A636" s="1" t="s">
        <v>4</v>
      </c>
      <c r="B636" s="2" t="s">
        <v>4</v>
      </c>
      <c r="C636" s="2" t="s">
        <v>4</v>
      </c>
      <c r="D636" s="80" t="s">
        <v>1262</v>
      </c>
      <c r="E636" s="361" t="s">
        <v>1295</v>
      </c>
      <c r="F636" s="361"/>
      <c r="G636" s="81">
        <v>3.12</v>
      </c>
      <c r="H636" s="67" t="s">
        <v>4</v>
      </c>
    </row>
    <row r="637" spans="1:8" x14ac:dyDescent="0.25">
      <c r="A637" s="1" t="s">
        <v>4</v>
      </c>
      <c r="B637" s="2" t="s">
        <v>4</v>
      </c>
      <c r="C637" s="2" t="s">
        <v>4</v>
      </c>
      <c r="D637" s="80" t="s">
        <v>1264</v>
      </c>
      <c r="E637" s="361" t="s">
        <v>1297</v>
      </c>
      <c r="F637" s="361"/>
      <c r="G637" s="81">
        <v>2.9725000000000001</v>
      </c>
      <c r="H637" s="67" t="s">
        <v>4</v>
      </c>
    </row>
    <row r="638" spans="1:8" x14ac:dyDescent="0.25">
      <c r="A638" s="1" t="s">
        <v>4</v>
      </c>
      <c r="B638" s="2" t="s">
        <v>4</v>
      </c>
      <c r="C638" s="2" t="s">
        <v>4</v>
      </c>
      <c r="D638" s="80" t="s">
        <v>1392</v>
      </c>
      <c r="E638" s="361" t="s">
        <v>1299</v>
      </c>
      <c r="F638" s="361"/>
      <c r="G638" s="81">
        <v>0.81</v>
      </c>
      <c r="H638" s="67" t="s">
        <v>4</v>
      </c>
    </row>
    <row r="639" spans="1:8" x14ac:dyDescent="0.25">
      <c r="A639" s="1" t="s">
        <v>4</v>
      </c>
      <c r="B639" s="2" t="s">
        <v>4</v>
      </c>
      <c r="C639" s="2" t="s">
        <v>4</v>
      </c>
      <c r="D639" s="80" t="s">
        <v>1266</v>
      </c>
      <c r="E639" s="361" t="s">
        <v>1300</v>
      </c>
      <c r="F639" s="361"/>
      <c r="G639" s="81">
        <v>3.48</v>
      </c>
      <c r="H639" s="67" t="s">
        <v>4</v>
      </c>
    </row>
    <row r="640" spans="1:8" x14ac:dyDescent="0.25">
      <c r="A640" s="1" t="s">
        <v>4</v>
      </c>
      <c r="B640" s="2" t="s">
        <v>4</v>
      </c>
      <c r="C640" s="2" t="s">
        <v>4</v>
      </c>
      <c r="D640" s="80" t="s">
        <v>1267</v>
      </c>
      <c r="E640" s="361" t="s">
        <v>1301</v>
      </c>
      <c r="F640" s="361"/>
      <c r="G640" s="81">
        <v>2.9</v>
      </c>
      <c r="H640" s="67" t="s">
        <v>4</v>
      </c>
    </row>
    <row r="641" spans="1:8" x14ac:dyDescent="0.25">
      <c r="A641" s="1" t="s">
        <v>4</v>
      </c>
      <c r="B641" s="2" t="s">
        <v>4</v>
      </c>
      <c r="C641" s="2" t="s">
        <v>4</v>
      </c>
      <c r="D641" s="80" t="s">
        <v>1268</v>
      </c>
      <c r="E641" s="361" t="s">
        <v>1302</v>
      </c>
      <c r="F641" s="361"/>
      <c r="G641" s="81">
        <v>2.1749999999999998</v>
      </c>
      <c r="H641" s="67" t="s">
        <v>4</v>
      </c>
    </row>
    <row r="642" spans="1:8" x14ac:dyDescent="0.25">
      <c r="A642" s="1" t="s">
        <v>906</v>
      </c>
      <c r="B642" s="2" t="s">
        <v>89</v>
      </c>
      <c r="C642" s="2" t="s">
        <v>907</v>
      </c>
      <c r="D642" s="259" t="s">
        <v>908</v>
      </c>
      <c r="E642" s="259"/>
      <c r="F642" s="2" t="s">
        <v>63</v>
      </c>
      <c r="G642" s="37">
        <v>263.07249999999999</v>
      </c>
      <c r="H642" s="38">
        <v>0</v>
      </c>
    </row>
    <row r="643" spans="1:8" x14ac:dyDescent="0.25">
      <c r="A643" s="69"/>
      <c r="D643" s="80" t="s">
        <v>1393</v>
      </c>
      <c r="E643" s="361" t="s">
        <v>4</v>
      </c>
      <c r="F643" s="361"/>
      <c r="G643" s="81">
        <v>263.07249999999999</v>
      </c>
      <c r="H643" s="82"/>
    </row>
    <row r="644" spans="1:8" x14ac:dyDescent="0.25">
      <c r="A644" s="1" t="s">
        <v>909</v>
      </c>
      <c r="B644" s="2" t="s">
        <v>89</v>
      </c>
      <c r="C644" s="2" t="s">
        <v>910</v>
      </c>
      <c r="D644" s="259" t="s">
        <v>911</v>
      </c>
      <c r="E644" s="259"/>
      <c r="F644" s="2" t="s">
        <v>251</v>
      </c>
      <c r="G644" s="37">
        <v>3.04</v>
      </c>
      <c r="H644" s="38">
        <v>0</v>
      </c>
    </row>
    <row r="645" spans="1:8" x14ac:dyDescent="0.25">
      <c r="A645" s="69"/>
      <c r="D645" s="80" t="s">
        <v>1394</v>
      </c>
      <c r="E645" s="361" t="s">
        <v>4</v>
      </c>
      <c r="F645" s="361"/>
      <c r="G645" s="81">
        <v>3.04</v>
      </c>
      <c r="H645" s="82"/>
    </row>
    <row r="646" spans="1:8" x14ac:dyDescent="0.25">
      <c r="A646" s="1" t="s">
        <v>913</v>
      </c>
      <c r="B646" s="2" t="s">
        <v>89</v>
      </c>
      <c r="C646" s="2" t="s">
        <v>914</v>
      </c>
      <c r="D646" s="259" t="s">
        <v>915</v>
      </c>
      <c r="E646" s="259"/>
      <c r="F646" s="2" t="s">
        <v>309</v>
      </c>
      <c r="G646" s="37">
        <v>2</v>
      </c>
      <c r="H646" s="38">
        <v>0</v>
      </c>
    </row>
    <row r="647" spans="1:8" x14ac:dyDescent="0.25">
      <c r="A647" s="69"/>
      <c r="D647" s="80" t="s">
        <v>221</v>
      </c>
      <c r="E647" s="361" t="s">
        <v>4</v>
      </c>
      <c r="F647" s="361"/>
      <c r="G647" s="81">
        <v>2</v>
      </c>
      <c r="H647" s="82"/>
    </row>
    <row r="648" spans="1:8" x14ac:dyDescent="0.25">
      <c r="A648" s="1" t="s">
        <v>916</v>
      </c>
      <c r="B648" s="2" t="s">
        <v>89</v>
      </c>
      <c r="C648" s="2" t="s">
        <v>917</v>
      </c>
      <c r="D648" s="259" t="s">
        <v>918</v>
      </c>
      <c r="E648" s="259"/>
      <c r="F648" s="2" t="s">
        <v>63</v>
      </c>
      <c r="G648" s="37">
        <v>396.08319999999998</v>
      </c>
      <c r="H648" s="38">
        <v>0</v>
      </c>
    </row>
    <row r="649" spans="1:8" x14ac:dyDescent="0.25">
      <c r="A649" s="69"/>
      <c r="D649" s="80" t="s">
        <v>1395</v>
      </c>
      <c r="E649" s="361" t="s">
        <v>4</v>
      </c>
      <c r="F649" s="361"/>
      <c r="G649" s="81">
        <v>396.08319999999998</v>
      </c>
      <c r="H649" s="82"/>
    </row>
    <row r="650" spans="1:8" x14ac:dyDescent="0.25">
      <c r="A650" s="1" t="s">
        <v>919</v>
      </c>
      <c r="B650" s="2" t="s">
        <v>89</v>
      </c>
      <c r="C650" s="2" t="s">
        <v>920</v>
      </c>
      <c r="D650" s="259" t="s">
        <v>921</v>
      </c>
      <c r="E650" s="259"/>
      <c r="F650" s="2" t="s">
        <v>922</v>
      </c>
      <c r="G650" s="37">
        <v>0.02</v>
      </c>
      <c r="H650" s="38">
        <v>0</v>
      </c>
    </row>
    <row r="651" spans="1:8" x14ac:dyDescent="0.25">
      <c r="A651" s="69"/>
      <c r="D651" s="80" t="s">
        <v>1396</v>
      </c>
      <c r="E651" s="361" t="s">
        <v>4</v>
      </c>
      <c r="F651" s="361"/>
      <c r="G651" s="81">
        <v>0.02</v>
      </c>
      <c r="H651" s="82"/>
    </row>
    <row r="652" spans="1:8" x14ac:dyDescent="0.25">
      <c r="A652" s="1" t="s">
        <v>925</v>
      </c>
      <c r="B652" s="2" t="s">
        <v>89</v>
      </c>
      <c r="C652" s="2" t="s">
        <v>926</v>
      </c>
      <c r="D652" s="259" t="s">
        <v>927</v>
      </c>
      <c r="E652" s="259"/>
      <c r="F652" s="2" t="s">
        <v>313</v>
      </c>
      <c r="G652" s="37">
        <v>6.3</v>
      </c>
      <c r="H652" s="38">
        <v>0</v>
      </c>
    </row>
    <row r="653" spans="1:8" x14ac:dyDescent="0.25">
      <c r="A653" s="69"/>
      <c r="D653" s="80" t="s">
        <v>1397</v>
      </c>
      <c r="E653" s="361" t="s">
        <v>1217</v>
      </c>
      <c r="F653" s="361"/>
      <c r="G653" s="81">
        <v>6.3</v>
      </c>
      <c r="H653" s="82"/>
    </row>
    <row r="654" spans="1:8" x14ac:dyDescent="0.25">
      <c r="A654" s="1" t="s">
        <v>929</v>
      </c>
      <c r="B654" s="2" t="s">
        <v>89</v>
      </c>
      <c r="C654" s="2" t="s">
        <v>930</v>
      </c>
      <c r="D654" s="259" t="s">
        <v>931</v>
      </c>
      <c r="E654" s="259"/>
      <c r="F654" s="2" t="s">
        <v>313</v>
      </c>
      <c r="G654" s="37">
        <v>16.100000000000001</v>
      </c>
      <c r="H654" s="38">
        <v>0</v>
      </c>
    </row>
    <row r="655" spans="1:8" x14ac:dyDescent="0.25">
      <c r="A655" s="69"/>
      <c r="D655" s="80" t="s">
        <v>1226</v>
      </c>
      <c r="E655" s="361" t="s">
        <v>4</v>
      </c>
      <c r="F655" s="361"/>
      <c r="G655" s="81">
        <v>16.100000000000001</v>
      </c>
      <c r="H655" s="82"/>
    </row>
    <row r="656" spans="1:8" x14ac:dyDescent="0.25">
      <c r="A656" s="1" t="s">
        <v>932</v>
      </c>
      <c r="B656" s="2" t="s">
        <v>89</v>
      </c>
      <c r="C656" s="2" t="s">
        <v>933</v>
      </c>
      <c r="D656" s="259" t="s">
        <v>934</v>
      </c>
      <c r="E656" s="259"/>
      <c r="F656" s="2" t="s">
        <v>313</v>
      </c>
      <c r="G656" s="37">
        <v>19.5</v>
      </c>
      <c r="H656" s="38">
        <v>0</v>
      </c>
    </row>
    <row r="657" spans="1:8" x14ac:dyDescent="0.25">
      <c r="A657" s="69"/>
      <c r="D657" s="80" t="s">
        <v>1398</v>
      </c>
      <c r="E657" s="361" t="s">
        <v>4</v>
      </c>
      <c r="F657" s="361"/>
      <c r="G657" s="81">
        <v>19.5</v>
      </c>
      <c r="H657" s="82"/>
    </row>
    <row r="658" spans="1:8" x14ac:dyDescent="0.25">
      <c r="A658" s="1" t="s">
        <v>935</v>
      </c>
      <c r="B658" s="2" t="s">
        <v>89</v>
      </c>
      <c r="C658" s="2" t="s">
        <v>936</v>
      </c>
      <c r="D658" s="259" t="s">
        <v>937</v>
      </c>
      <c r="E658" s="259"/>
      <c r="F658" s="2" t="s">
        <v>313</v>
      </c>
      <c r="G658" s="37">
        <v>16.100000000000001</v>
      </c>
      <c r="H658" s="38">
        <v>0</v>
      </c>
    </row>
    <row r="659" spans="1:8" x14ac:dyDescent="0.25">
      <c r="A659" s="69"/>
      <c r="D659" s="80" t="s">
        <v>1226</v>
      </c>
      <c r="E659" s="361" t="s">
        <v>4</v>
      </c>
      <c r="F659" s="361"/>
      <c r="G659" s="81">
        <v>16.100000000000001</v>
      </c>
      <c r="H659" s="82"/>
    </row>
    <row r="660" spans="1:8" x14ac:dyDescent="0.25">
      <c r="A660" s="1" t="s">
        <v>938</v>
      </c>
      <c r="B660" s="2" t="s">
        <v>89</v>
      </c>
      <c r="C660" s="2" t="s">
        <v>939</v>
      </c>
      <c r="D660" s="259" t="s">
        <v>940</v>
      </c>
      <c r="E660" s="259"/>
      <c r="F660" s="2" t="s">
        <v>251</v>
      </c>
      <c r="G660" s="37">
        <v>283.92930000000001</v>
      </c>
      <c r="H660" s="38">
        <v>0</v>
      </c>
    </row>
    <row r="661" spans="1:8" x14ac:dyDescent="0.25">
      <c r="A661" s="69"/>
      <c r="D661" s="80" t="s">
        <v>1399</v>
      </c>
      <c r="E661" s="361" t="s">
        <v>4</v>
      </c>
      <c r="F661" s="361"/>
      <c r="G661" s="81">
        <v>34.749000000000002</v>
      </c>
      <c r="H661" s="82"/>
    </row>
    <row r="662" spans="1:8" x14ac:dyDescent="0.25">
      <c r="A662" s="1" t="s">
        <v>4</v>
      </c>
      <c r="B662" s="2" t="s">
        <v>4</v>
      </c>
      <c r="C662" s="2" t="s">
        <v>4</v>
      </c>
      <c r="D662" s="80" t="s">
        <v>1400</v>
      </c>
      <c r="E662" s="361" t="s">
        <v>4</v>
      </c>
      <c r="F662" s="361"/>
      <c r="G662" s="81">
        <v>90.497699999999995</v>
      </c>
      <c r="H662" s="67" t="s">
        <v>4</v>
      </c>
    </row>
    <row r="663" spans="1:8" x14ac:dyDescent="0.25">
      <c r="A663" s="1" t="s">
        <v>4</v>
      </c>
      <c r="B663" s="2" t="s">
        <v>4</v>
      </c>
      <c r="C663" s="2" t="s">
        <v>4</v>
      </c>
      <c r="D663" s="80" t="s">
        <v>1401</v>
      </c>
      <c r="E663" s="361" t="s">
        <v>4</v>
      </c>
      <c r="F663" s="361"/>
      <c r="G663" s="81">
        <v>92.879599999999996</v>
      </c>
      <c r="H663" s="67" t="s">
        <v>4</v>
      </c>
    </row>
    <row r="664" spans="1:8" x14ac:dyDescent="0.25">
      <c r="A664" s="1" t="s">
        <v>4</v>
      </c>
      <c r="B664" s="2" t="s">
        <v>4</v>
      </c>
      <c r="C664" s="2" t="s">
        <v>4</v>
      </c>
      <c r="D664" s="80" t="s">
        <v>1402</v>
      </c>
      <c r="E664" s="361" t="s">
        <v>4</v>
      </c>
      <c r="F664" s="361"/>
      <c r="G664" s="81">
        <v>65.802999999999997</v>
      </c>
      <c r="H664" s="67" t="s">
        <v>4</v>
      </c>
    </row>
    <row r="665" spans="1:8" x14ac:dyDescent="0.25">
      <c r="A665" s="1" t="s">
        <v>942</v>
      </c>
      <c r="B665" s="2" t="s">
        <v>89</v>
      </c>
      <c r="C665" s="2" t="s">
        <v>943</v>
      </c>
      <c r="D665" s="259" t="s">
        <v>944</v>
      </c>
      <c r="E665" s="259"/>
      <c r="F665" s="2" t="s">
        <v>251</v>
      </c>
      <c r="G665" s="37">
        <v>567.85860000000002</v>
      </c>
      <c r="H665" s="38">
        <v>0</v>
      </c>
    </row>
    <row r="666" spans="1:8" x14ac:dyDescent="0.25">
      <c r="A666" s="69"/>
      <c r="D666" s="80" t="s">
        <v>1403</v>
      </c>
      <c r="E666" s="361" t="s">
        <v>4</v>
      </c>
      <c r="F666" s="361"/>
      <c r="G666" s="81">
        <v>567.85860000000002</v>
      </c>
      <c r="H666" s="82"/>
    </row>
    <row r="667" spans="1:8" x14ac:dyDescent="0.25">
      <c r="A667" s="1" t="s">
        <v>945</v>
      </c>
      <c r="B667" s="2" t="s">
        <v>89</v>
      </c>
      <c r="C667" s="2" t="s">
        <v>946</v>
      </c>
      <c r="D667" s="259" t="s">
        <v>947</v>
      </c>
      <c r="E667" s="259"/>
      <c r="F667" s="2" t="s">
        <v>251</v>
      </c>
      <c r="G667" s="37">
        <v>283.92930000000001</v>
      </c>
      <c r="H667" s="38">
        <v>0</v>
      </c>
    </row>
    <row r="668" spans="1:8" x14ac:dyDescent="0.25">
      <c r="A668" s="69"/>
      <c r="D668" s="80" t="s">
        <v>1404</v>
      </c>
      <c r="E668" s="361" t="s">
        <v>4</v>
      </c>
      <c r="F668" s="361"/>
      <c r="G668" s="81">
        <v>283.92930000000001</v>
      </c>
      <c r="H668" s="82"/>
    </row>
    <row r="669" spans="1:8" x14ac:dyDescent="0.25">
      <c r="A669" s="1" t="s">
        <v>948</v>
      </c>
      <c r="B669" s="2" t="s">
        <v>89</v>
      </c>
      <c r="C669" s="2" t="s">
        <v>949</v>
      </c>
      <c r="D669" s="259" t="s">
        <v>950</v>
      </c>
      <c r="E669" s="259"/>
      <c r="F669" s="2" t="s">
        <v>951</v>
      </c>
      <c r="G669" s="37">
        <v>60</v>
      </c>
      <c r="H669" s="38">
        <v>0</v>
      </c>
    </row>
    <row r="670" spans="1:8" x14ac:dyDescent="0.25">
      <c r="A670" s="69"/>
      <c r="D670" s="80" t="s">
        <v>1405</v>
      </c>
      <c r="E670" s="361" t="s">
        <v>4</v>
      </c>
      <c r="F670" s="361"/>
      <c r="G670" s="81">
        <v>60</v>
      </c>
      <c r="H670" s="82"/>
    </row>
    <row r="671" spans="1:8" x14ac:dyDescent="0.25">
      <c r="A671" s="1" t="s">
        <v>952</v>
      </c>
      <c r="B671" s="2" t="s">
        <v>89</v>
      </c>
      <c r="C671" s="2" t="s">
        <v>953</v>
      </c>
      <c r="D671" s="259" t="s">
        <v>954</v>
      </c>
      <c r="E671" s="259"/>
      <c r="F671" s="2" t="s">
        <v>309</v>
      </c>
      <c r="G671" s="37">
        <v>3</v>
      </c>
      <c r="H671" s="38">
        <v>0</v>
      </c>
    </row>
    <row r="672" spans="1:8" x14ac:dyDescent="0.25">
      <c r="A672" s="69"/>
      <c r="D672" s="80" t="s">
        <v>224</v>
      </c>
      <c r="E672" s="361" t="s">
        <v>4</v>
      </c>
      <c r="F672" s="361"/>
      <c r="G672" s="81">
        <v>3</v>
      </c>
      <c r="H672" s="82"/>
    </row>
    <row r="673" spans="1:8" x14ac:dyDescent="0.25">
      <c r="A673" s="1" t="s">
        <v>956</v>
      </c>
      <c r="B673" s="2" t="s">
        <v>89</v>
      </c>
      <c r="C673" s="2" t="s">
        <v>957</v>
      </c>
      <c r="D673" s="259" t="s">
        <v>958</v>
      </c>
      <c r="E673" s="259"/>
      <c r="F673" s="2" t="s">
        <v>313</v>
      </c>
      <c r="G673" s="37">
        <v>0.9</v>
      </c>
      <c r="H673" s="38">
        <v>0</v>
      </c>
    </row>
    <row r="674" spans="1:8" x14ac:dyDescent="0.25">
      <c r="A674" s="69"/>
      <c r="D674" s="80" t="s">
        <v>1406</v>
      </c>
      <c r="E674" s="361" t="s">
        <v>4</v>
      </c>
      <c r="F674" s="361"/>
      <c r="G674" s="81">
        <v>0.9</v>
      </c>
      <c r="H674" s="82"/>
    </row>
    <row r="675" spans="1:8" x14ac:dyDescent="0.25">
      <c r="A675" s="1" t="s">
        <v>959</v>
      </c>
      <c r="B675" s="2" t="s">
        <v>89</v>
      </c>
      <c r="C675" s="2" t="s">
        <v>960</v>
      </c>
      <c r="D675" s="259" t="s">
        <v>961</v>
      </c>
      <c r="E675" s="259"/>
      <c r="F675" s="2" t="s">
        <v>309</v>
      </c>
      <c r="G675" s="37">
        <v>3</v>
      </c>
      <c r="H675" s="38">
        <v>0</v>
      </c>
    </row>
    <row r="676" spans="1:8" x14ac:dyDescent="0.25">
      <c r="A676" s="69"/>
      <c r="D676" s="80" t="s">
        <v>224</v>
      </c>
      <c r="E676" s="361" t="s">
        <v>4</v>
      </c>
      <c r="F676" s="361"/>
      <c r="G676" s="81">
        <v>3</v>
      </c>
      <c r="H676" s="82"/>
    </row>
    <row r="677" spans="1:8" x14ac:dyDescent="0.25">
      <c r="A677" s="1" t="s">
        <v>962</v>
      </c>
      <c r="B677" s="2" t="s">
        <v>89</v>
      </c>
      <c r="C677" s="2" t="s">
        <v>963</v>
      </c>
      <c r="D677" s="259" t="s">
        <v>964</v>
      </c>
      <c r="E677" s="259"/>
      <c r="F677" s="2" t="s">
        <v>309</v>
      </c>
      <c r="G677" s="37">
        <v>3</v>
      </c>
      <c r="H677" s="38">
        <v>0</v>
      </c>
    </row>
    <row r="678" spans="1:8" x14ac:dyDescent="0.25">
      <c r="A678" s="69"/>
      <c r="D678" s="80" t="s">
        <v>224</v>
      </c>
      <c r="E678" s="361" t="s">
        <v>4</v>
      </c>
      <c r="F678" s="361"/>
      <c r="G678" s="81">
        <v>3</v>
      </c>
      <c r="H678" s="82"/>
    </row>
    <row r="679" spans="1:8" x14ac:dyDescent="0.25">
      <c r="A679" s="1" t="s">
        <v>965</v>
      </c>
      <c r="B679" s="2" t="s">
        <v>89</v>
      </c>
      <c r="C679" s="2" t="s">
        <v>957</v>
      </c>
      <c r="D679" s="259" t="s">
        <v>966</v>
      </c>
      <c r="E679" s="259"/>
      <c r="F679" s="2" t="s">
        <v>313</v>
      </c>
      <c r="G679" s="37">
        <v>0.9</v>
      </c>
      <c r="H679" s="38">
        <v>0</v>
      </c>
    </row>
    <row r="680" spans="1:8" x14ac:dyDescent="0.25">
      <c r="A680" s="69"/>
      <c r="D680" s="80" t="s">
        <v>1406</v>
      </c>
      <c r="E680" s="361" t="s">
        <v>4</v>
      </c>
      <c r="F680" s="361"/>
      <c r="G680" s="81">
        <v>0.9</v>
      </c>
      <c r="H680" s="82"/>
    </row>
    <row r="681" spans="1:8" x14ac:dyDescent="0.25">
      <c r="A681" s="1" t="s">
        <v>967</v>
      </c>
      <c r="B681" s="2" t="s">
        <v>89</v>
      </c>
      <c r="C681" s="2" t="s">
        <v>960</v>
      </c>
      <c r="D681" s="259" t="s">
        <v>961</v>
      </c>
      <c r="E681" s="259"/>
      <c r="F681" s="2" t="s">
        <v>309</v>
      </c>
      <c r="G681" s="37">
        <v>3</v>
      </c>
      <c r="H681" s="38">
        <v>0</v>
      </c>
    </row>
    <row r="682" spans="1:8" x14ac:dyDescent="0.25">
      <c r="A682" s="69"/>
      <c r="D682" s="80" t="s">
        <v>224</v>
      </c>
      <c r="E682" s="361" t="s">
        <v>4</v>
      </c>
      <c r="F682" s="361"/>
      <c r="G682" s="81">
        <v>3</v>
      </c>
      <c r="H682" s="82"/>
    </row>
    <row r="683" spans="1:8" x14ac:dyDescent="0.25">
      <c r="A683" s="1" t="s">
        <v>968</v>
      </c>
      <c r="B683" s="2" t="s">
        <v>89</v>
      </c>
      <c r="C683" s="2" t="s">
        <v>969</v>
      </c>
      <c r="D683" s="259" t="s">
        <v>970</v>
      </c>
      <c r="E683" s="259"/>
      <c r="F683" s="2" t="s">
        <v>309</v>
      </c>
      <c r="G683" s="37">
        <v>3</v>
      </c>
      <c r="H683" s="38">
        <v>0</v>
      </c>
    </row>
    <row r="684" spans="1:8" x14ac:dyDescent="0.25">
      <c r="A684" s="69"/>
      <c r="D684" s="80" t="s">
        <v>224</v>
      </c>
      <c r="E684" s="361" t="s">
        <v>4</v>
      </c>
      <c r="F684" s="361"/>
      <c r="G684" s="81">
        <v>3</v>
      </c>
      <c r="H684" s="82"/>
    </row>
    <row r="685" spans="1:8" x14ac:dyDescent="0.25">
      <c r="A685" s="1" t="s">
        <v>971</v>
      </c>
      <c r="B685" s="2" t="s">
        <v>89</v>
      </c>
      <c r="C685" s="2" t="s">
        <v>972</v>
      </c>
      <c r="D685" s="259" t="s">
        <v>973</v>
      </c>
      <c r="E685" s="259"/>
      <c r="F685" s="2" t="s">
        <v>309</v>
      </c>
      <c r="G685" s="37">
        <v>1.2857099999999999</v>
      </c>
      <c r="H685" s="38">
        <v>0</v>
      </c>
    </row>
    <row r="686" spans="1:8" x14ac:dyDescent="0.25">
      <c r="A686" s="69"/>
      <c r="D686" s="80" t="s">
        <v>224</v>
      </c>
      <c r="E686" s="361" t="s">
        <v>4</v>
      </c>
      <c r="F686" s="361"/>
      <c r="G686" s="81">
        <v>3</v>
      </c>
      <c r="H686" s="82"/>
    </row>
    <row r="687" spans="1:8" x14ac:dyDescent="0.25">
      <c r="A687" s="1" t="s">
        <v>974</v>
      </c>
      <c r="B687" s="2" t="s">
        <v>89</v>
      </c>
      <c r="C687" s="2" t="s">
        <v>444</v>
      </c>
      <c r="D687" s="259" t="s">
        <v>445</v>
      </c>
      <c r="E687" s="259"/>
      <c r="F687" s="2" t="s">
        <v>266</v>
      </c>
      <c r="G687" s="37">
        <v>17.079719999999998</v>
      </c>
      <c r="H687" s="38">
        <v>0</v>
      </c>
    </row>
    <row r="688" spans="1:8" x14ac:dyDescent="0.25">
      <c r="A688" s="1" t="s">
        <v>975</v>
      </c>
      <c r="B688" s="2" t="s">
        <v>89</v>
      </c>
      <c r="C688" s="2" t="s">
        <v>976</v>
      </c>
      <c r="D688" s="259" t="s">
        <v>977</v>
      </c>
      <c r="E688" s="259"/>
      <c r="F688" s="2" t="s">
        <v>309</v>
      </c>
      <c r="G688" s="37">
        <v>36</v>
      </c>
      <c r="H688" s="38">
        <v>0</v>
      </c>
    </row>
    <row r="689" spans="1:8" x14ac:dyDescent="0.25">
      <c r="A689" s="69"/>
      <c r="D689" s="80" t="s">
        <v>1407</v>
      </c>
      <c r="E689" s="361" t="s">
        <v>1229</v>
      </c>
      <c r="F689" s="361"/>
      <c r="G689" s="81">
        <v>5</v>
      </c>
      <c r="H689" s="82"/>
    </row>
    <row r="690" spans="1:8" x14ac:dyDescent="0.25">
      <c r="A690" s="1" t="s">
        <v>4</v>
      </c>
      <c r="B690" s="2" t="s">
        <v>4</v>
      </c>
      <c r="C690" s="2" t="s">
        <v>4</v>
      </c>
      <c r="D690" s="80" t="s">
        <v>1408</v>
      </c>
      <c r="E690" s="361" t="s">
        <v>1409</v>
      </c>
      <c r="F690" s="361"/>
      <c r="G690" s="81">
        <v>31</v>
      </c>
      <c r="H690" s="67" t="s">
        <v>4</v>
      </c>
    </row>
    <row r="691" spans="1:8" x14ac:dyDescent="0.25">
      <c r="A691" s="1" t="s">
        <v>979</v>
      </c>
      <c r="B691" s="2" t="s">
        <v>89</v>
      </c>
      <c r="C691" s="2" t="s">
        <v>980</v>
      </c>
      <c r="D691" s="259" t="s">
        <v>981</v>
      </c>
      <c r="E691" s="259"/>
      <c r="F691" s="2" t="s">
        <v>251</v>
      </c>
      <c r="G691" s="37">
        <v>2.93</v>
      </c>
      <c r="H691" s="38">
        <v>0</v>
      </c>
    </row>
    <row r="692" spans="1:8" x14ac:dyDescent="0.25">
      <c r="A692" s="69"/>
      <c r="D692" s="80" t="s">
        <v>1410</v>
      </c>
      <c r="E692" s="361" t="s">
        <v>1409</v>
      </c>
      <c r="F692" s="361"/>
      <c r="G692" s="81">
        <v>1.5974999999999999</v>
      </c>
      <c r="H692" s="82"/>
    </row>
    <row r="693" spans="1:8" x14ac:dyDescent="0.25">
      <c r="A693" s="1" t="s">
        <v>4</v>
      </c>
      <c r="B693" s="2" t="s">
        <v>4</v>
      </c>
      <c r="C693" s="2" t="s">
        <v>4</v>
      </c>
      <c r="D693" s="80" t="s">
        <v>1411</v>
      </c>
      <c r="E693" s="361" t="s">
        <v>1229</v>
      </c>
      <c r="F693" s="361"/>
      <c r="G693" s="81">
        <v>1.3325</v>
      </c>
      <c r="H693" s="67" t="s">
        <v>4</v>
      </c>
    </row>
    <row r="694" spans="1:8" x14ac:dyDescent="0.25">
      <c r="A694" s="1" t="s">
        <v>982</v>
      </c>
      <c r="B694" s="2" t="s">
        <v>89</v>
      </c>
      <c r="C694" s="2" t="s">
        <v>983</v>
      </c>
      <c r="D694" s="259" t="s">
        <v>984</v>
      </c>
      <c r="E694" s="259"/>
      <c r="F694" s="2" t="s">
        <v>251</v>
      </c>
      <c r="G694" s="37">
        <v>10.75</v>
      </c>
      <c r="H694" s="38">
        <v>0</v>
      </c>
    </row>
    <row r="695" spans="1:8" x14ac:dyDescent="0.25">
      <c r="A695" s="69"/>
      <c r="D695" s="80" t="s">
        <v>1412</v>
      </c>
      <c r="E695" s="361" t="s">
        <v>1409</v>
      </c>
      <c r="F695" s="361"/>
      <c r="G695" s="81">
        <v>9.5399999999999991</v>
      </c>
      <c r="H695" s="82"/>
    </row>
    <row r="696" spans="1:8" x14ac:dyDescent="0.25">
      <c r="A696" s="1" t="s">
        <v>4</v>
      </c>
      <c r="B696" s="2" t="s">
        <v>4</v>
      </c>
      <c r="C696" s="2" t="s">
        <v>4</v>
      </c>
      <c r="D696" s="80" t="s">
        <v>1250</v>
      </c>
      <c r="E696" s="361" t="s">
        <v>1229</v>
      </c>
      <c r="F696" s="361"/>
      <c r="G696" s="81">
        <v>1.21</v>
      </c>
      <c r="H696" s="67" t="s">
        <v>4</v>
      </c>
    </row>
    <row r="697" spans="1:8" x14ac:dyDescent="0.25">
      <c r="A697" s="1" t="s">
        <v>985</v>
      </c>
      <c r="B697" s="2" t="s">
        <v>89</v>
      </c>
      <c r="C697" s="2" t="s">
        <v>986</v>
      </c>
      <c r="D697" s="259" t="s">
        <v>987</v>
      </c>
      <c r="E697" s="259"/>
      <c r="F697" s="2" t="s">
        <v>251</v>
      </c>
      <c r="G697" s="37">
        <v>14.9175</v>
      </c>
      <c r="H697" s="38">
        <v>0</v>
      </c>
    </row>
    <row r="698" spans="1:8" x14ac:dyDescent="0.25">
      <c r="A698" s="69"/>
      <c r="D698" s="80" t="s">
        <v>1413</v>
      </c>
      <c r="E698" s="361" t="s">
        <v>1409</v>
      </c>
      <c r="F698" s="361"/>
      <c r="G698" s="81">
        <v>14.9175</v>
      </c>
      <c r="H698" s="82"/>
    </row>
    <row r="699" spans="1:8" x14ac:dyDescent="0.25">
      <c r="A699" s="1" t="s">
        <v>988</v>
      </c>
      <c r="B699" s="2" t="s">
        <v>89</v>
      </c>
      <c r="C699" s="2" t="s">
        <v>989</v>
      </c>
      <c r="D699" s="259" t="s">
        <v>990</v>
      </c>
      <c r="E699" s="259"/>
      <c r="F699" s="2" t="s">
        <v>309</v>
      </c>
      <c r="G699" s="37">
        <v>32</v>
      </c>
      <c r="H699" s="38">
        <v>0</v>
      </c>
    </row>
    <row r="700" spans="1:8" x14ac:dyDescent="0.25">
      <c r="A700" s="69"/>
      <c r="D700" s="80" t="s">
        <v>213</v>
      </c>
      <c r="E700" s="361" t="s">
        <v>1229</v>
      </c>
      <c r="F700" s="361"/>
      <c r="G700" s="81">
        <v>1</v>
      </c>
      <c r="H700" s="82"/>
    </row>
    <row r="701" spans="1:8" x14ac:dyDescent="0.25">
      <c r="A701" s="1" t="s">
        <v>4</v>
      </c>
      <c r="B701" s="2" t="s">
        <v>4</v>
      </c>
      <c r="C701" s="2" t="s">
        <v>4</v>
      </c>
      <c r="D701" s="80" t="s">
        <v>1414</v>
      </c>
      <c r="E701" s="361" t="s">
        <v>1409</v>
      </c>
      <c r="F701" s="361"/>
      <c r="G701" s="81">
        <v>31</v>
      </c>
      <c r="H701" s="67" t="s">
        <v>4</v>
      </c>
    </row>
    <row r="702" spans="1:8" x14ac:dyDescent="0.25">
      <c r="A702" s="1" t="s">
        <v>991</v>
      </c>
      <c r="B702" s="2" t="s">
        <v>89</v>
      </c>
      <c r="C702" s="2" t="s">
        <v>992</v>
      </c>
      <c r="D702" s="259" t="s">
        <v>993</v>
      </c>
      <c r="E702" s="259"/>
      <c r="F702" s="2" t="s">
        <v>309</v>
      </c>
      <c r="G702" s="37">
        <v>2</v>
      </c>
      <c r="H702" s="38">
        <v>0</v>
      </c>
    </row>
    <row r="703" spans="1:8" x14ac:dyDescent="0.25">
      <c r="A703" s="69"/>
      <c r="D703" s="80" t="s">
        <v>221</v>
      </c>
      <c r="E703" s="361" t="s">
        <v>1409</v>
      </c>
      <c r="F703" s="361"/>
      <c r="G703" s="81">
        <v>2</v>
      </c>
      <c r="H703" s="82"/>
    </row>
    <row r="704" spans="1:8" x14ac:dyDescent="0.25">
      <c r="A704" s="1" t="s">
        <v>994</v>
      </c>
      <c r="B704" s="2" t="s">
        <v>89</v>
      </c>
      <c r="C704" s="2" t="s">
        <v>995</v>
      </c>
      <c r="D704" s="259" t="s">
        <v>996</v>
      </c>
      <c r="E704" s="259"/>
      <c r="F704" s="2" t="s">
        <v>251</v>
      </c>
      <c r="G704" s="37">
        <v>34.776000000000003</v>
      </c>
      <c r="H704" s="38">
        <v>0</v>
      </c>
    </row>
    <row r="705" spans="1:8" x14ac:dyDescent="0.25">
      <c r="A705" s="69"/>
      <c r="D705" s="80" t="s">
        <v>1415</v>
      </c>
      <c r="E705" s="361" t="s">
        <v>1229</v>
      </c>
      <c r="F705" s="361"/>
      <c r="G705" s="81">
        <v>1.68</v>
      </c>
      <c r="H705" s="82"/>
    </row>
    <row r="706" spans="1:8" x14ac:dyDescent="0.25">
      <c r="A706" s="1" t="s">
        <v>4</v>
      </c>
      <c r="B706" s="2" t="s">
        <v>4</v>
      </c>
      <c r="C706" s="2" t="s">
        <v>4</v>
      </c>
      <c r="D706" s="80" t="s">
        <v>1416</v>
      </c>
      <c r="E706" s="361" t="s">
        <v>1409</v>
      </c>
      <c r="F706" s="361"/>
      <c r="G706" s="81">
        <v>33.095999999999997</v>
      </c>
      <c r="H706" s="67" t="s">
        <v>4</v>
      </c>
    </row>
    <row r="707" spans="1:8" x14ac:dyDescent="0.25">
      <c r="A707" s="1" t="s">
        <v>997</v>
      </c>
      <c r="B707" s="2" t="s">
        <v>89</v>
      </c>
      <c r="C707" s="2" t="s">
        <v>998</v>
      </c>
      <c r="D707" s="259" t="s">
        <v>999</v>
      </c>
      <c r="E707" s="259"/>
      <c r="F707" s="2" t="s">
        <v>251</v>
      </c>
      <c r="G707" s="37">
        <v>14.052199999999999</v>
      </c>
      <c r="H707" s="38">
        <v>0</v>
      </c>
    </row>
    <row r="708" spans="1:8" x14ac:dyDescent="0.25">
      <c r="A708" s="69"/>
      <c r="D708" s="80" t="s">
        <v>1417</v>
      </c>
      <c r="E708" s="361" t="s">
        <v>1409</v>
      </c>
      <c r="F708" s="361"/>
      <c r="G708" s="81">
        <v>14.052199999999999</v>
      </c>
      <c r="H708" s="82"/>
    </row>
    <row r="709" spans="1:8" x14ac:dyDescent="0.25">
      <c r="A709" s="1" t="s">
        <v>1000</v>
      </c>
      <c r="B709" s="2" t="s">
        <v>89</v>
      </c>
      <c r="C709" s="2" t="s">
        <v>1001</v>
      </c>
      <c r="D709" s="259" t="s">
        <v>1002</v>
      </c>
      <c r="E709" s="259"/>
      <c r="F709" s="2" t="s">
        <v>266</v>
      </c>
      <c r="G709" s="37">
        <v>4.9435700000000002</v>
      </c>
      <c r="H709" s="38">
        <v>0</v>
      </c>
    </row>
    <row r="710" spans="1:8" x14ac:dyDescent="0.25">
      <c r="A710" s="1" t="s">
        <v>1003</v>
      </c>
      <c r="B710" s="2" t="s">
        <v>89</v>
      </c>
      <c r="C710" s="2" t="s">
        <v>1004</v>
      </c>
      <c r="D710" s="259" t="s">
        <v>1005</v>
      </c>
      <c r="E710" s="259"/>
      <c r="F710" s="2" t="s">
        <v>251</v>
      </c>
      <c r="G710" s="37">
        <v>43.43045</v>
      </c>
      <c r="H710" s="38">
        <v>0</v>
      </c>
    </row>
    <row r="711" spans="1:8" x14ac:dyDescent="0.25">
      <c r="A711" s="69"/>
      <c r="D711" s="80" t="s">
        <v>1418</v>
      </c>
      <c r="E711" s="361" t="s">
        <v>4</v>
      </c>
      <c r="F711" s="361"/>
      <c r="G711" s="81">
        <v>4.41655</v>
      </c>
      <c r="H711" s="82"/>
    </row>
    <row r="712" spans="1:8" x14ac:dyDescent="0.25">
      <c r="A712" s="1" t="s">
        <v>4</v>
      </c>
      <c r="B712" s="2" t="s">
        <v>4</v>
      </c>
      <c r="C712" s="2" t="s">
        <v>4</v>
      </c>
      <c r="D712" s="80" t="s">
        <v>1419</v>
      </c>
      <c r="E712" s="361" t="s">
        <v>4</v>
      </c>
      <c r="F712" s="361"/>
      <c r="G712" s="81">
        <v>28.692599999999999</v>
      </c>
      <c r="H712" s="67" t="s">
        <v>4</v>
      </c>
    </row>
    <row r="713" spans="1:8" x14ac:dyDescent="0.25">
      <c r="A713" s="1" t="s">
        <v>4</v>
      </c>
      <c r="B713" s="2" t="s">
        <v>4</v>
      </c>
      <c r="C713" s="2" t="s">
        <v>4</v>
      </c>
      <c r="D713" s="80" t="s">
        <v>1420</v>
      </c>
      <c r="E713" s="361" t="s">
        <v>4</v>
      </c>
      <c r="F713" s="361"/>
      <c r="G713" s="81">
        <v>10.321300000000001</v>
      </c>
      <c r="H713" s="67" t="s">
        <v>4</v>
      </c>
    </row>
    <row r="714" spans="1:8" x14ac:dyDescent="0.25">
      <c r="A714" s="1" t="s">
        <v>1006</v>
      </c>
      <c r="B714" s="2" t="s">
        <v>89</v>
      </c>
      <c r="C714" s="2" t="s">
        <v>1007</v>
      </c>
      <c r="D714" s="259" t="s">
        <v>1008</v>
      </c>
      <c r="E714" s="259"/>
      <c r="F714" s="2" t="s">
        <v>251</v>
      </c>
      <c r="G714" s="37">
        <v>32.996899999999997</v>
      </c>
      <c r="H714" s="38">
        <v>0</v>
      </c>
    </row>
    <row r="715" spans="1:8" x14ac:dyDescent="0.25">
      <c r="A715" s="69"/>
      <c r="D715" s="80" t="s">
        <v>1421</v>
      </c>
      <c r="E715" s="361" t="s">
        <v>4</v>
      </c>
      <c r="F715" s="361"/>
      <c r="G715" s="81">
        <v>26.017499999999998</v>
      </c>
      <c r="H715" s="82"/>
    </row>
    <row r="716" spans="1:8" x14ac:dyDescent="0.25">
      <c r="A716" s="1" t="s">
        <v>4</v>
      </c>
      <c r="B716" s="2" t="s">
        <v>4</v>
      </c>
      <c r="C716" s="2" t="s">
        <v>4</v>
      </c>
      <c r="D716" s="80" t="s">
        <v>1422</v>
      </c>
      <c r="E716" s="361" t="s">
        <v>4</v>
      </c>
      <c r="F716" s="361"/>
      <c r="G716" s="81">
        <v>6.9794</v>
      </c>
      <c r="H716" s="67" t="s">
        <v>4</v>
      </c>
    </row>
    <row r="717" spans="1:8" x14ac:dyDescent="0.25">
      <c r="A717" s="1" t="s">
        <v>1009</v>
      </c>
      <c r="B717" s="2" t="s">
        <v>89</v>
      </c>
      <c r="C717" s="2" t="s">
        <v>1010</v>
      </c>
      <c r="D717" s="259" t="s">
        <v>1011</v>
      </c>
      <c r="E717" s="259"/>
      <c r="F717" s="2" t="s">
        <v>216</v>
      </c>
      <c r="G717" s="37">
        <v>6.6462000000000003</v>
      </c>
      <c r="H717" s="38">
        <v>0</v>
      </c>
    </row>
    <row r="718" spans="1:8" x14ac:dyDescent="0.25">
      <c r="A718" s="69"/>
      <c r="D718" s="80" t="s">
        <v>1423</v>
      </c>
      <c r="E718" s="361" t="s">
        <v>4</v>
      </c>
      <c r="F718" s="361"/>
      <c r="G718" s="81">
        <v>0.79384999999999994</v>
      </c>
      <c r="H718" s="82"/>
    </row>
    <row r="719" spans="1:8" x14ac:dyDescent="0.25">
      <c r="A719" s="1" t="s">
        <v>4</v>
      </c>
      <c r="B719" s="2" t="s">
        <v>4</v>
      </c>
      <c r="C719" s="2" t="s">
        <v>4</v>
      </c>
      <c r="D719" s="80" t="s">
        <v>1424</v>
      </c>
      <c r="E719" s="361" t="s">
        <v>4</v>
      </c>
      <c r="F719" s="361"/>
      <c r="G719" s="81">
        <v>1.6607499999999999</v>
      </c>
      <c r="H719" s="67" t="s">
        <v>4</v>
      </c>
    </row>
    <row r="720" spans="1:8" x14ac:dyDescent="0.25">
      <c r="A720" s="1" t="s">
        <v>4</v>
      </c>
      <c r="B720" s="2" t="s">
        <v>4</v>
      </c>
      <c r="C720" s="2" t="s">
        <v>4</v>
      </c>
      <c r="D720" s="80" t="s">
        <v>1425</v>
      </c>
      <c r="E720" s="361" t="s">
        <v>4</v>
      </c>
      <c r="F720" s="361"/>
      <c r="G720" s="81">
        <v>1.4833000000000001</v>
      </c>
      <c r="H720" s="67" t="s">
        <v>4</v>
      </c>
    </row>
    <row r="721" spans="1:8" x14ac:dyDescent="0.25">
      <c r="A721" s="1" t="s">
        <v>4</v>
      </c>
      <c r="B721" s="2" t="s">
        <v>4</v>
      </c>
      <c r="C721" s="2" t="s">
        <v>4</v>
      </c>
      <c r="D721" s="80" t="s">
        <v>1426</v>
      </c>
      <c r="E721" s="361" t="s">
        <v>4</v>
      </c>
      <c r="F721" s="361"/>
      <c r="G721" s="81">
        <v>0.91700000000000004</v>
      </c>
      <c r="H721" s="67" t="s">
        <v>4</v>
      </c>
    </row>
    <row r="722" spans="1:8" x14ac:dyDescent="0.25">
      <c r="A722" s="1" t="s">
        <v>4</v>
      </c>
      <c r="B722" s="2" t="s">
        <v>4</v>
      </c>
      <c r="C722" s="2" t="s">
        <v>4</v>
      </c>
      <c r="D722" s="80" t="s">
        <v>1427</v>
      </c>
      <c r="E722" s="361" t="s">
        <v>4</v>
      </c>
      <c r="F722" s="361"/>
      <c r="G722" s="81">
        <v>0.96330000000000005</v>
      </c>
      <c r="H722" s="67" t="s">
        <v>4</v>
      </c>
    </row>
    <row r="723" spans="1:8" x14ac:dyDescent="0.25">
      <c r="A723" s="1" t="s">
        <v>4</v>
      </c>
      <c r="B723" s="2" t="s">
        <v>4</v>
      </c>
      <c r="C723" s="2" t="s">
        <v>4</v>
      </c>
      <c r="D723" s="80" t="s">
        <v>1428</v>
      </c>
      <c r="E723" s="361" t="s">
        <v>4</v>
      </c>
      <c r="F723" s="361"/>
      <c r="G723" s="81">
        <v>0.69299999999999995</v>
      </c>
      <c r="H723" s="67" t="s">
        <v>4</v>
      </c>
    </row>
    <row r="724" spans="1:8" x14ac:dyDescent="0.25">
      <c r="A724" s="1" t="s">
        <v>4</v>
      </c>
      <c r="B724" s="2" t="s">
        <v>4</v>
      </c>
      <c r="C724" s="2" t="s">
        <v>4</v>
      </c>
      <c r="D724" s="80" t="s">
        <v>1429</v>
      </c>
      <c r="E724" s="361" t="s">
        <v>1430</v>
      </c>
      <c r="F724" s="361"/>
      <c r="G724" s="81">
        <v>0.13500000000000001</v>
      </c>
      <c r="H724" s="67" t="s">
        <v>4</v>
      </c>
    </row>
    <row r="725" spans="1:8" x14ac:dyDescent="0.25">
      <c r="A725" s="1" t="s">
        <v>1012</v>
      </c>
      <c r="B725" s="2" t="s">
        <v>89</v>
      </c>
      <c r="C725" s="2" t="s">
        <v>1013</v>
      </c>
      <c r="D725" s="259" t="s">
        <v>1014</v>
      </c>
      <c r="E725" s="259"/>
      <c r="F725" s="2" t="s">
        <v>313</v>
      </c>
      <c r="G725" s="37">
        <v>3</v>
      </c>
      <c r="H725" s="38">
        <v>0</v>
      </c>
    </row>
    <row r="726" spans="1:8" x14ac:dyDescent="0.25">
      <c r="A726" s="69"/>
      <c r="D726" s="80" t="s">
        <v>224</v>
      </c>
      <c r="E726" s="361" t="s">
        <v>4</v>
      </c>
      <c r="F726" s="361"/>
      <c r="G726" s="81">
        <v>3</v>
      </c>
      <c r="H726" s="82"/>
    </row>
    <row r="727" spans="1:8" x14ac:dyDescent="0.25">
      <c r="A727" s="1" t="s">
        <v>1015</v>
      </c>
      <c r="B727" s="2" t="s">
        <v>89</v>
      </c>
      <c r="C727" s="2" t="s">
        <v>1016</v>
      </c>
      <c r="D727" s="259" t="s">
        <v>1017</v>
      </c>
      <c r="E727" s="259"/>
      <c r="F727" s="2" t="s">
        <v>309</v>
      </c>
      <c r="G727" s="37">
        <v>4</v>
      </c>
      <c r="H727" s="38">
        <v>0</v>
      </c>
    </row>
    <row r="728" spans="1:8" x14ac:dyDescent="0.25">
      <c r="A728" s="69"/>
      <c r="D728" s="80" t="s">
        <v>227</v>
      </c>
      <c r="E728" s="361" t="s">
        <v>4</v>
      </c>
      <c r="F728" s="361"/>
      <c r="G728" s="81">
        <v>4</v>
      </c>
      <c r="H728" s="82"/>
    </row>
    <row r="729" spans="1:8" x14ac:dyDescent="0.25">
      <c r="A729" s="1" t="s">
        <v>1018</v>
      </c>
      <c r="B729" s="2" t="s">
        <v>89</v>
      </c>
      <c r="C729" s="2" t="s">
        <v>1019</v>
      </c>
      <c r="D729" s="259" t="s">
        <v>1020</v>
      </c>
      <c r="E729" s="259"/>
      <c r="F729" s="2" t="s">
        <v>313</v>
      </c>
      <c r="G729" s="37">
        <v>0.3</v>
      </c>
      <c r="H729" s="38">
        <v>0</v>
      </c>
    </row>
    <row r="730" spans="1:8" x14ac:dyDescent="0.25">
      <c r="A730" s="69"/>
      <c r="D730" s="80" t="s">
        <v>1431</v>
      </c>
      <c r="E730" s="361" t="s">
        <v>4</v>
      </c>
      <c r="F730" s="361"/>
      <c r="G730" s="81">
        <v>0.3</v>
      </c>
      <c r="H730" s="82"/>
    </row>
    <row r="731" spans="1:8" x14ac:dyDescent="0.25">
      <c r="A731" s="1" t="s">
        <v>1021</v>
      </c>
      <c r="B731" s="2" t="s">
        <v>89</v>
      </c>
      <c r="C731" s="2" t="s">
        <v>1022</v>
      </c>
      <c r="D731" s="259" t="s">
        <v>1023</v>
      </c>
      <c r="E731" s="259"/>
      <c r="F731" s="2" t="s">
        <v>313</v>
      </c>
      <c r="G731" s="37">
        <v>1.34</v>
      </c>
      <c r="H731" s="38">
        <v>0</v>
      </c>
    </row>
    <row r="732" spans="1:8" x14ac:dyDescent="0.25">
      <c r="A732" s="69"/>
      <c r="D732" s="80" t="s">
        <v>1432</v>
      </c>
      <c r="E732" s="361" t="s">
        <v>4</v>
      </c>
      <c r="F732" s="361"/>
      <c r="G732" s="81">
        <v>1.34</v>
      </c>
      <c r="H732" s="82"/>
    </row>
    <row r="733" spans="1:8" x14ac:dyDescent="0.25">
      <c r="A733" s="1" t="s">
        <v>1024</v>
      </c>
      <c r="B733" s="2" t="s">
        <v>89</v>
      </c>
      <c r="C733" s="2" t="s">
        <v>1025</v>
      </c>
      <c r="D733" s="259" t="s">
        <v>1026</v>
      </c>
      <c r="E733" s="259"/>
      <c r="F733" s="2" t="s">
        <v>313</v>
      </c>
      <c r="G733" s="37">
        <v>4.8</v>
      </c>
      <c r="H733" s="38">
        <v>0</v>
      </c>
    </row>
    <row r="734" spans="1:8" x14ac:dyDescent="0.25">
      <c r="A734" s="69"/>
      <c r="D734" s="80" t="s">
        <v>1433</v>
      </c>
      <c r="E734" s="361" t="s">
        <v>1434</v>
      </c>
      <c r="F734" s="361"/>
      <c r="G734" s="81">
        <v>4.8</v>
      </c>
      <c r="H734" s="82"/>
    </row>
    <row r="735" spans="1:8" x14ac:dyDescent="0.25">
      <c r="A735" s="1" t="s">
        <v>1027</v>
      </c>
      <c r="B735" s="2" t="s">
        <v>89</v>
      </c>
      <c r="C735" s="2" t="s">
        <v>1028</v>
      </c>
      <c r="D735" s="259" t="s">
        <v>1029</v>
      </c>
      <c r="E735" s="259"/>
      <c r="F735" s="2" t="s">
        <v>266</v>
      </c>
      <c r="G735" s="37">
        <v>30.899229999999999</v>
      </c>
      <c r="H735" s="38">
        <v>0</v>
      </c>
    </row>
    <row r="736" spans="1:8" x14ac:dyDescent="0.25">
      <c r="A736" s="69"/>
      <c r="D736" s="80" t="s">
        <v>1435</v>
      </c>
      <c r="E736" s="361" t="s">
        <v>4</v>
      </c>
      <c r="F736" s="361"/>
      <c r="G736" s="81">
        <v>30.899229999999999</v>
      </c>
      <c r="H736" s="82"/>
    </row>
    <row r="737" spans="1:8" x14ac:dyDescent="0.25">
      <c r="A737" s="1" t="s">
        <v>1030</v>
      </c>
      <c r="B737" s="2" t="s">
        <v>89</v>
      </c>
      <c r="C737" s="2" t="s">
        <v>1031</v>
      </c>
      <c r="D737" s="259" t="s">
        <v>1032</v>
      </c>
      <c r="E737" s="259"/>
      <c r="F737" s="2" t="s">
        <v>251</v>
      </c>
      <c r="G737" s="37">
        <v>15.96</v>
      </c>
      <c r="H737" s="38">
        <v>0</v>
      </c>
    </row>
    <row r="738" spans="1:8" x14ac:dyDescent="0.25">
      <c r="A738" s="69"/>
      <c r="D738" s="80" t="s">
        <v>1272</v>
      </c>
      <c r="E738" s="361" t="s">
        <v>4</v>
      </c>
      <c r="F738" s="361"/>
      <c r="G738" s="81">
        <v>13.21</v>
      </c>
      <c r="H738" s="82"/>
    </row>
    <row r="739" spans="1:8" x14ac:dyDescent="0.25">
      <c r="A739" s="1" t="s">
        <v>4</v>
      </c>
      <c r="B739" s="2" t="s">
        <v>4</v>
      </c>
      <c r="C739" s="2" t="s">
        <v>4</v>
      </c>
      <c r="D739" s="80" t="s">
        <v>1275</v>
      </c>
      <c r="E739" s="361" t="s">
        <v>4</v>
      </c>
      <c r="F739" s="361"/>
      <c r="G739" s="81">
        <v>2.75</v>
      </c>
      <c r="H739" s="67" t="s">
        <v>4</v>
      </c>
    </row>
    <row r="740" spans="1:8" x14ac:dyDescent="0.25">
      <c r="A740" s="1" t="s">
        <v>1033</v>
      </c>
      <c r="B740" s="2" t="s">
        <v>89</v>
      </c>
      <c r="C740" s="2" t="s">
        <v>1034</v>
      </c>
      <c r="D740" s="259" t="s">
        <v>1035</v>
      </c>
      <c r="E740" s="259"/>
      <c r="F740" s="2" t="s">
        <v>251</v>
      </c>
      <c r="G740" s="37">
        <v>6</v>
      </c>
      <c r="H740" s="38">
        <v>0</v>
      </c>
    </row>
    <row r="741" spans="1:8" x14ac:dyDescent="0.25">
      <c r="A741" s="69"/>
      <c r="D741" s="80" t="s">
        <v>1346</v>
      </c>
      <c r="E741" s="361" t="s">
        <v>4</v>
      </c>
      <c r="F741" s="361"/>
      <c r="G741" s="81">
        <v>6</v>
      </c>
      <c r="H741" s="82"/>
    </row>
    <row r="742" spans="1:8" x14ac:dyDescent="0.25">
      <c r="A742" s="1" t="s">
        <v>1036</v>
      </c>
      <c r="B742" s="2" t="s">
        <v>89</v>
      </c>
      <c r="C742" s="2" t="s">
        <v>1037</v>
      </c>
      <c r="D742" s="259" t="s">
        <v>1038</v>
      </c>
      <c r="E742" s="259"/>
      <c r="F742" s="2" t="s">
        <v>251</v>
      </c>
      <c r="G742" s="37">
        <v>15.96</v>
      </c>
      <c r="H742" s="38">
        <v>0</v>
      </c>
    </row>
    <row r="743" spans="1:8" x14ac:dyDescent="0.25">
      <c r="A743" s="69"/>
      <c r="D743" s="80" t="s">
        <v>1272</v>
      </c>
      <c r="E743" s="361" t="s">
        <v>4</v>
      </c>
      <c r="F743" s="361"/>
      <c r="G743" s="81">
        <v>13.21</v>
      </c>
      <c r="H743" s="82"/>
    </row>
    <row r="744" spans="1:8" x14ac:dyDescent="0.25">
      <c r="A744" s="1" t="s">
        <v>4</v>
      </c>
      <c r="B744" s="2" t="s">
        <v>4</v>
      </c>
      <c r="C744" s="2" t="s">
        <v>4</v>
      </c>
      <c r="D744" s="80" t="s">
        <v>1275</v>
      </c>
      <c r="E744" s="361" t="s">
        <v>4</v>
      </c>
      <c r="F744" s="361"/>
      <c r="G744" s="81">
        <v>2.75</v>
      </c>
      <c r="H744" s="67" t="s">
        <v>4</v>
      </c>
    </row>
    <row r="745" spans="1:8" x14ac:dyDescent="0.25">
      <c r="A745" s="1" t="s">
        <v>1039</v>
      </c>
      <c r="B745" s="2" t="s">
        <v>89</v>
      </c>
      <c r="C745" s="2" t="s">
        <v>1040</v>
      </c>
      <c r="D745" s="259" t="s">
        <v>1041</v>
      </c>
      <c r="E745" s="259"/>
      <c r="F745" s="2" t="s">
        <v>309</v>
      </c>
      <c r="G745" s="37">
        <v>3</v>
      </c>
      <c r="H745" s="38">
        <v>0</v>
      </c>
    </row>
    <row r="746" spans="1:8" x14ac:dyDescent="0.25">
      <c r="A746" s="69"/>
      <c r="D746" s="80" t="s">
        <v>224</v>
      </c>
      <c r="E746" s="361" t="s">
        <v>4</v>
      </c>
      <c r="F746" s="361"/>
      <c r="G746" s="81">
        <v>3</v>
      </c>
      <c r="H746" s="82"/>
    </row>
    <row r="747" spans="1:8" x14ac:dyDescent="0.25">
      <c r="A747" s="1" t="s">
        <v>1042</v>
      </c>
      <c r="B747" s="2" t="s">
        <v>89</v>
      </c>
      <c r="C747" s="2" t="s">
        <v>1043</v>
      </c>
      <c r="D747" s="259" t="s">
        <v>1044</v>
      </c>
      <c r="E747" s="259"/>
      <c r="F747" s="2" t="s">
        <v>504</v>
      </c>
      <c r="G747" s="37">
        <v>1</v>
      </c>
      <c r="H747" s="38">
        <v>0</v>
      </c>
    </row>
    <row r="748" spans="1:8" x14ac:dyDescent="0.25">
      <c r="A748" s="69"/>
      <c r="D748" s="80" t="s">
        <v>213</v>
      </c>
      <c r="E748" s="361" t="s">
        <v>4</v>
      </c>
      <c r="F748" s="361"/>
      <c r="G748" s="81">
        <v>1</v>
      </c>
      <c r="H748" s="82"/>
    </row>
    <row r="749" spans="1:8" x14ac:dyDescent="0.25">
      <c r="A749" s="1" t="s">
        <v>1045</v>
      </c>
      <c r="B749" s="2" t="s">
        <v>89</v>
      </c>
      <c r="C749" s="2" t="s">
        <v>1046</v>
      </c>
      <c r="D749" s="259" t="s">
        <v>1047</v>
      </c>
      <c r="E749" s="259"/>
      <c r="F749" s="2" t="s">
        <v>309</v>
      </c>
      <c r="G749" s="37">
        <v>4</v>
      </c>
      <c r="H749" s="38">
        <v>0</v>
      </c>
    </row>
    <row r="750" spans="1:8" x14ac:dyDescent="0.25">
      <c r="A750" s="69"/>
      <c r="D750" s="80" t="s">
        <v>227</v>
      </c>
      <c r="E750" s="361" t="s">
        <v>4</v>
      </c>
      <c r="F750" s="361"/>
      <c r="G750" s="81">
        <v>4</v>
      </c>
      <c r="H750" s="82"/>
    </row>
    <row r="751" spans="1:8" x14ac:dyDescent="0.25">
      <c r="A751" s="1" t="s">
        <v>1048</v>
      </c>
      <c r="B751" s="2" t="s">
        <v>89</v>
      </c>
      <c r="C751" s="2" t="s">
        <v>1049</v>
      </c>
      <c r="D751" s="259" t="s">
        <v>1050</v>
      </c>
      <c r="E751" s="259"/>
      <c r="F751" s="2" t="s">
        <v>266</v>
      </c>
      <c r="G751" s="37">
        <v>1.0158799999999999</v>
      </c>
      <c r="H751" s="38">
        <v>0</v>
      </c>
    </row>
    <row r="752" spans="1:8" x14ac:dyDescent="0.25">
      <c r="A752" s="1" t="s">
        <v>1051</v>
      </c>
      <c r="B752" s="2" t="s">
        <v>89</v>
      </c>
      <c r="C752" s="2" t="s">
        <v>1052</v>
      </c>
      <c r="D752" s="259" t="s">
        <v>1053</v>
      </c>
      <c r="E752" s="259"/>
      <c r="F752" s="2" t="s">
        <v>216</v>
      </c>
      <c r="G752" s="37">
        <v>0.9</v>
      </c>
      <c r="H752" s="38">
        <v>0</v>
      </c>
    </row>
    <row r="753" spans="1:8" x14ac:dyDescent="0.25">
      <c r="A753" s="69"/>
      <c r="D753" s="80" t="s">
        <v>1436</v>
      </c>
      <c r="E753" s="361" t="s">
        <v>1437</v>
      </c>
      <c r="F753" s="361"/>
      <c r="G753" s="81">
        <v>0.9</v>
      </c>
      <c r="H753" s="82"/>
    </row>
    <row r="754" spans="1:8" x14ac:dyDescent="0.25">
      <c r="A754" s="1" t="s">
        <v>1054</v>
      </c>
      <c r="B754" s="2" t="s">
        <v>89</v>
      </c>
      <c r="C754" s="2" t="s">
        <v>1055</v>
      </c>
      <c r="D754" s="259" t="s">
        <v>1056</v>
      </c>
      <c r="E754" s="259"/>
      <c r="F754" s="2" t="s">
        <v>313</v>
      </c>
      <c r="G754" s="37">
        <v>0.3</v>
      </c>
      <c r="H754" s="38">
        <v>0</v>
      </c>
    </row>
    <row r="755" spans="1:8" x14ac:dyDescent="0.25">
      <c r="A755" s="69"/>
      <c r="D755" s="80" t="s">
        <v>1431</v>
      </c>
      <c r="E755" s="361" t="s">
        <v>4</v>
      </c>
      <c r="F755" s="361"/>
      <c r="G755" s="81">
        <v>0.3</v>
      </c>
      <c r="H755" s="82"/>
    </row>
    <row r="756" spans="1:8" x14ac:dyDescent="0.25">
      <c r="A756" s="1" t="s">
        <v>1057</v>
      </c>
      <c r="B756" s="2" t="s">
        <v>89</v>
      </c>
      <c r="C756" s="2" t="s">
        <v>1058</v>
      </c>
      <c r="D756" s="259" t="s">
        <v>1059</v>
      </c>
      <c r="E756" s="259"/>
      <c r="F756" s="2" t="s">
        <v>309</v>
      </c>
      <c r="G756" s="37">
        <v>6</v>
      </c>
      <c r="H756" s="38">
        <v>0</v>
      </c>
    </row>
    <row r="757" spans="1:8" x14ac:dyDescent="0.25">
      <c r="A757" s="69"/>
      <c r="D757" s="80" t="s">
        <v>234</v>
      </c>
      <c r="E757" s="361" t="s">
        <v>1434</v>
      </c>
      <c r="F757" s="361"/>
      <c r="G757" s="81">
        <v>6</v>
      </c>
      <c r="H757" s="82"/>
    </row>
    <row r="758" spans="1:8" x14ac:dyDescent="0.25">
      <c r="A758" s="1" t="s">
        <v>1060</v>
      </c>
      <c r="B758" s="2" t="s">
        <v>89</v>
      </c>
      <c r="C758" s="2" t="s">
        <v>1061</v>
      </c>
      <c r="D758" s="259" t="s">
        <v>1062</v>
      </c>
      <c r="E758" s="259"/>
      <c r="F758" s="2" t="s">
        <v>266</v>
      </c>
      <c r="G758" s="37">
        <v>1.85853</v>
      </c>
      <c r="H758" s="38">
        <v>0</v>
      </c>
    </row>
    <row r="759" spans="1:8" x14ac:dyDescent="0.25">
      <c r="A759" s="69"/>
      <c r="D759" s="80" t="s">
        <v>1438</v>
      </c>
      <c r="E759" s="361" t="s">
        <v>4</v>
      </c>
      <c r="F759" s="361"/>
      <c r="G759" s="81">
        <v>1.85853</v>
      </c>
      <c r="H759" s="82"/>
    </row>
    <row r="760" spans="1:8" x14ac:dyDescent="0.25">
      <c r="A760" s="1" t="s">
        <v>1063</v>
      </c>
      <c r="B760" s="2" t="s">
        <v>89</v>
      </c>
      <c r="C760" s="2" t="s">
        <v>1064</v>
      </c>
      <c r="D760" s="259" t="s">
        <v>1065</v>
      </c>
      <c r="E760" s="259"/>
      <c r="F760" s="2" t="s">
        <v>313</v>
      </c>
      <c r="G760" s="37">
        <v>4.3</v>
      </c>
      <c r="H760" s="38">
        <v>0</v>
      </c>
    </row>
    <row r="761" spans="1:8" x14ac:dyDescent="0.25">
      <c r="A761" s="69"/>
      <c r="D761" s="80" t="s">
        <v>1352</v>
      </c>
      <c r="E761" s="361" t="s">
        <v>4</v>
      </c>
      <c r="F761" s="361"/>
      <c r="G761" s="81">
        <v>4.3</v>
      </c>
      <c r="H761" s="82"/>
    </row>
    <row r="762" spans="1:8" x14ac:dyDescent="0.25">
      <c r="A762" s="1" t="s">
        <v>1066</v>
      </c>
      <c r="B762" s="2" t="s">
        <v>89</v>
      </c>
      <c r="C762" s="2" t="s">
        <v>1067</v>
      </c>
      <c r="D762" s="259" t="s">
        <v>1068</v>
      </c>
      <c r="E762" s="259"/>
      <c r="F762" s="2" t="s">
        <v>313</v>
      </c>
      <c r="G762" s="37">
        <v>12.2</v>
      </c>
      <c r="H762" s="38">
        <v>0</v>
      </c>
    </row>
    <row r="763" spans="1:8" x14ac:dyDescent="0.25">
      <c r="A763" s="69"/>
      <c r="D763" s="80" t="s">
        <v>1351</v>
      </c>
      <c r="E763" s="361" t="s">
        <v>4</v>
      </c>
      <c r="F763" s="361"/>
      <c r="G763" s="81">
        <v>12.2</v>
      </c>
      <c r="H763" s="82"/>
    </row>
    <row r="764" spans="1:8" x14ac:dyDescent="0.25">
      <c r="A764" s="1" t="s">
        <v>1069</v>
      </c>
      <c r="B764" s="2" t="s">
        <v>89</v>
      </c>
      <c r="C764" s="2" t="s">
        <v>1070</v>
      </c>
      <c r="D764" s="259" t="s">
        <v>1071</v>
      </c>
      <c r="E764" s="259"/>
      <c r="F764" s="2" t="s">
        <v>313</v>
      </c>
      <c r="G764" s="37">
        <v>6.4</v>
      </c>
      <c r="H764" s="38">
        <v>0</v>
      </c>
    </row>
    <row r="765" spans="1:8" x14ac:dyDescent="0.25">
      <c r="A765" s="69"/>
      <c r="D765" s="80" t="s">
        <v>1353</v>
      </c>
      <c r="E765" s="361" t="s">
        <v>4</v>
      </c>
      <c r="F765" s="361"/>
      <c r="G765" s="81">
        <v>6.4</v>
      </c>
      <c r="H765" s="82"/>
    </row>
    <row r="766" spans="1:8" x14ac:dyDescent="0.25">
      <c r="A766" s="1" t="s">
        <v>1072</v>
      </c>
      <c r="B766" s="2" t="s">
        <v>89</v>
      </c>
      <c r="C766" s="2" t="s">
        <v>1073</v>
      </c>
      <c r="D766" s="259" t="s">
        <v>1074</v>
      </c>
      <c r="E766" s="259"/>
      <c r="F766" s="2" t="s">
        <v>309</v>
      </c>
      <c r="G766" s="37">
        <v>8</v>
      </c>
      <c r="H766" s="38">
        <v>0</v>
      </c>
    </row>
    <row r="767" spans="1:8" x14ac:dyDescent="0.25">
      <c r="A767" s="69"/>
      <c r="D767" s="80" t="s">
        <v>1357</v>
      </c>
      <c r="E767" s="361" t="s">
        <v>4</v>
      </c>
      <c r="F767" s="361"/>
      <c r="G767" s="81">
        <v>8</v>
      </c>
      <c r="H767" s="82"/>
    </row>
    <row r="768" spans="1:8" x14ac:dyDescent="0.25">
      <c r="A768" s="1" t="s">
        <v>1075</v>
      </c>
      <c r="B768" s="2" t="s">
        <v>89</v>
      </c>
      <c r="C768" s="2" t="s">
        <v>1076</v>
      </c>
      <c r="D768" s="259" t="s">
        <v>1077</v>
      </c>
      <c r="E768" s="259"/>
      <c r="F768" s="2" t="s">
        <v>313</v>
      </c>
      <c r="G768" s="37">
        <v>3.2</v>
      </c>
      <c r="H768" s="38">
        <v>0</v>
      </c>
    </row>
    <row r="769" spans="1:8" x14ac:dyDescent="0.25">
      <c r="A769" s="69"/>
      <c r="D769" s="80" t="s">
        <v>1355</v>
      </c>
      <c r="E769" s="361" t="s">
        <v>4</v>
      </c>
      <c r="F769" s="361"/>
      <c r="G769" s="81">
        <v>3.2</v>
      </c>
      <c r="H769" s="82"/>
    </row>
    <row r="770" spans="1:8" x14ac:dyDescent="0.25">
      <c r="A770" s="1" t="s">
        <v>1078</v>
      </c>
      <c r="B770" s="2" t="s">
        <v>89</v>
      </c>
      <c r="C770" s="2" t="s">
        <v>1079</v>
      </c>
      <c r="D770" s="259" t="s">
        <v>1080</v>
      </c>
      <c r="E770" s="259"/>
      <c r="F770" s="2" t="s">
        <v>313</v>
      </c>
      <c r="G770" s="37">
        <v>6.3</v>
      </c>
      <c r="H770" s="38">
        <v>0</v>
      </c>
    </row>
    <row r="771" spans="1:8" x14ac:dyDescent="0.25">
      <c r="A771" s="69"/>
      <c r="D771" s="80" t="s">
        <v>1356</v>
      </c>
      <c r="E771" s="361" t="s">
        <v>4</v>
      </c>
      <c r="F771" s="361"/>
      <c r="G771" s="81">
        <v>6.3</v>
      </c>
      <c r="H771" s="82"/>
    </row>
    <row r="772" spans="1:8" x14ac:dyDescent="0.25">
      <c r="A772" s="1" t="s">
        <v>1081</v>
      </c>
      <c r="B772" s="2" t="s">
        <v>89</v>
      </c>
      <c r="C772" s="2" t="s">
        <v>1082</v>
      </c>
      <c r="D772" s="259" t="s">
        <v>1083</v>
      </c>
      <c r="E772" s="259"/>
      <c r="F772" s="2" t="s">
        <v>313</v>
      </c>
      <c r="G772" s="37">
        <v>11.67</v>
      </c>
      <c r="H772" s="38">
        <v>0</v>
      </c>
    </row>
    <row r="773" spans="1:8" x14ac:dyDescent="0.25">
      <c r="A773" s="69"/>
      <c r="D773" s="80" t="s">
        <v>1439</v>
      </c>
      <c r="E773" s="361" t="s">
        <v>4</v>
      </c>
      <c r="F773" s="361"/>
      <c r="G773" s="81">
        <v>11.67</v>
      </c>
      <c r="H773" s="82"/>
    </row>
    <row r="774" spans="1:8" x14ac:dyDescent="0.25">
      <c r="A774" s="1" t="s">
        <v>1084</v>
      </c>
      <c r="B774" s="2" t="s">
        <v>89</v>
      </c>
      <c r="C774" s="2" t="s">
        <v>1085</v>
      </c>
      <c r="D774" s="259" t="s">
        <v>1086</v>
      </c>
      <c r="E774" s="259"/>
      <c r="F774" s="2" t="s">
        <v>313</v>
      </c>
      <c r="G774" s="37">
        <v>4.024</v>
      </c>
      <c r="H774" s="38">
        <v>0</v>
      </c>
    </row>
    <row r="775" spans="1:8" x14ac:dyDescent="0.25">
      <c r="A775" s="69"/>
      <c r="D775" s="80" t="s">
        <v>1440</v>
      </c>
      <c r="E775" s="361" t="s">
        <v>4</v>
      </c>
      <c r="F775" s="361"/>
      <c r="G775" s="81">
        <v>4.024</v>
      </c>
      <c r="H775" s="82"/>
    </row>
    <row r="776" spans="1:8" x14ac:dyDescent="0.25">
      <c r="A776" s="1" t="s">
        <v>1087</v>
      </c>
      <c r="B776" s="2" t="s">
        <v>89</v>
      </c>
      <c r="C776" s="2" t="s">
        <v>1088</v>
      </c>
      <c r="D776" s="259" t="s">
        <v>1089</v>
      </c>
      <c r="E776" s="259"/>
      <c r="F776" s="2" t="s">
        <v>266</v>
      </c>
      <c r="G776" s="37">
        <v>0.61343000000000003</v>
      </c>
      <c r="H776" s="38">
        <v>0</v>
      </c>
    </row>
    <row r="777" spans="1:8" x14ac:dyDescent="0.25">
      <c r="A777" s="1" t="s">
        <v>1090</v>
      </c>
      <c r="B777" s="2" t="s">
        <v>89</v>
      </c>
      <c r="C777" s="2" t="s">
        <v>1091</v>
      </c>
      <c r="D777" s="259" t="s">
        <v>1092</v>
      </c>
      <c r="E777" s="259"/>
      <c r="F777" s="2" t="s">
        <v>251</v>
      </c>
      <c r="G777" s="37">
        <v>23.39</v>
      </c>
      <c r="H777" s="38">
        <v>0</v>
      </c>
    </row>
    <row r="778" spans="1:8" x14ac:dyDescent="0.25">
      <c r="A778" s="69"/>
      <c r="D778" s="80" t="s">
        <v>1273</v>
      </c>
      <c r="E778" s="361" t="s">
        <v>4</v>
      </c>
      <c r="F778" s="361"/>
      <c r="G778" s="81">
        <v>16.43</v>
      </c>
      <c r="H778" s="82"/>
    </row>
    <row r="779" spans="1:8" x14ac:dyDescent="0.25">
      <c r="A779" s="1" t="s">
        <v>4</v>
      </c>
      <c r="B779" s="2" t="s">
        <v>4</v>
      </c>
      <c r="C779" s="2" t="s">
        <v>4</v>
      </c>
      <c r="D779" s="80" t="s">
        <v>1274</v>
      </c>
      <c r="E779" s="361" t="s">
        <v>4</v>
      </c>
      <c r="F779" s="361"/>
      <c r="G779" s="81">
        <v>6.96</v>
      </c>
      <c r="H779" s="67" t="s">
        <v>4</v>
      </c>
    </row>
    <row r="780" spans="1:8" x14ac:dyDescent="0.25">
      <c r="A780" s="1" t="s">
        <v>1093</v>
      </c>
      <c r="B780" s="2" t="s">
        <v>89</v>
      </c>
      <c r="C780" s="2" t="s">
        <v>1094</v>
      </c>
      <c r="D780" s="259" t="s">
        <v>1095</v>
      </c>
      <c r="E780" s="259"/>
      <c r="F780" s="2" t="s">
        <v>266</v>
      </c>
      <c r="G780" s="37">
        <v>8.1869999999999998E-2</v>
      </c>
      <c r="H780" s="38">
        <v>0</v>
      </c>
    </row>
    <row r="781" spans="1:8" x14ac:dyDescent="0.25">
      <c r="A781" s="1" t="s">
        <v>1096</v>
      </c>
      <c r="B781" s="2" t="s">
        <v>89</v>
      </c>
      <c r="C781" s="2" t="s">
        <v>1097</v>
      </c>
      <c r="D781" s="259" t="s">
        <v>1098</v>
      </c>
      <c r="E781" s="259"/>
      <c r="F781" s="2" t="s">
        <v>266</v>
      </c>
      <c r="G781" s="37">
        <v>39.412509999999997</v>
      </c>
      <c r="H781" s="38">
        <v>0</v>
      </c>
    </row>
    <row r="782" spans="1:8" x14ac:dyDescent="0.25">
      <c r="A782" s="69"/>
      <c r="D782" s="80" t="s">
        <v>1441</v>
      </c>
      <c r="E782" s="361" t="s">
        <v>4</v>
      </c>
      <c r="F782" s="361"/>
      <c r="G782" s="81">
        <v>39.412509999999997</v>
      </c>
      <c r="H782" s="82"/>
    </row>
    <row r="783" spans="1:8" x14ac:dyDescent="0.25">
      <c r="A783" s="1" t="s">
        <v>1099</v>
      </c>
      <c r="B783" s="2" t="s">
        <v>89</v>
      </c>
      <c r="C783" s="2" t="s">
        <v>1100</v>
      </c>
      <c r="D783" s="259" t="s">
        <v>1101</v>
      </c>
      <c r="E783" s="259"/>
      <c r="F783" s="2" t="s">
        <v>266</v>
      </c>
      <c r="G783" s="37">
        <v>39.412509999999997</v>
      </c>
      <c r="H783" s="38">
        <v>0</v>
      </c>
    </row>
    <row r="784" spans="1:8" x14ac:dyDescent="0.25">
      <c r="A784" s="69"/>
      <c r="D784" s="80" t="s">
        <v>1441</v>
      </c>
      <c r="E784" s="361" t="s">
        <v>4</v>
      </c>
      <c r="F784" s="361"/>
      <c r="G784" s="81">
        <v>39.412509999999997</v>
      </c>
      <c r="H784" s="82"/>
    </row>
    <row r="785" spans="1:8" x14ac:dyDescent="0.25">
      <c r="A785" s="1" t="s">
        <v>1102</v>
      </c>
      <c r="B785" s="2" t="s">
        <v>89</v>
      </c>
      <c r="C785" s="2" t="s">
        <v>1103</v>
      </c>
      <c r="D785" s="259" t="s">
        <v>1104</v>
      </c>
      <c r="E785" s="259"/>
      <c r="F785" s="2" t="s">
        <v>266</v>
      </c>
      <c r="G785" s="37">
        <v>788.25019999999995</v>
      </c>
      <c r="H785" s="38">
        <v>0</v>
      </c>
    </row>
    <row r="786" spans="1:8" x14ac:dyDescent="0.25">
      <c r="A786" s="69"/>
      <c r="D786" s="80" t="s">
        <v>1442</v>
      </c>
      <c r="E786" s="361" t="s">
        <v>4</v>
      </c>
      <c r="F786" s="361"/>
      <c r="G786" s="81">
        <v>788.25019999999995</v>
      </c>
      <c r="H786" s="82"/>
    </row>
    <row r="787" spans="1:8" x14ac:dyDescent="0.25">
      <c r="A787" s="1" t="s">
        <v>1105</v>
      </c>
      <c r="B787" s="2" t="s">
        <v>89</v>
      </c>
      <c r="C787" s="2" t="s">
        <v>1106</v>
      </c>
      <c r="D787" s="259" t="s">
        <v>1107</v>
      </c>
      <c r="E787" s="259"/>
      <c r="F787" s="2" t="s">
        <v>266</v>
      </c>
      <c r="G787" s="37">
        <v>39.412509999999997</v>
      </c>
      <c r="H787" s="38">
        <v>0</v>
      </c>
    </row>
    <row r="788" spans="1:8" x14ac:dyDescent="0.25">
      <c r="A788" s="69"/>
      <c r="D788" s="80" t="s">
        <v>1441</v>
      </c>
      <c r="E788" s="361" t="s">
        <v>4</v>
      </c>
      <c r="F788" s="361"/>
      <c r="G788" s="81">
        <v>39.412509999999997</v>
      </c>
      <c r="H788" s="82"/>
    </row>
    <row r="789" spans="1:8" x14ac:dyDescent="0.25">
      <c r="A789" s="1" t="s">
        <v>1108</v>
      </c>
      <c r="B789" s="2" t="s">
        <v>89</v>
      </c>
      <c r="C789" s="2" t="s">
        <v>1109</v>
      </c>
      <c r="D789" s="259" t="s">
        <v>1110</v>
      </c>
      <c r="E789" s="259"/>
      <c r="F789" s="2" t="s">
        <v>266</v>
      </c>
      <c r="G789" s="37">
        <v>39.412509999999997</v>
      </c>
      <c r="H789" s="38">
        <v>0</v>
      </c>
    </row>
    <row r="790" spans="1:8" x14ac:dyDescent="0.25">
      <c r="A790" s="69"/>
      <c r="D790" s="80" t="s">
        <v>1441</v>
      </c>
      <c r="E790" s="361" t="s">
        <v>4</v>
      </c>
      <c r="F790" s="361"/>
      <c r="G790" s="81">
        <v>39.412509999999997</v>
      </c>
      <c r="H790" s="82"/>
    </row>
    <row r="791" spans="1:8" x14ac:dyDescent="0.25">
      <c r="A791" s="1" t="s">
        <v>1111</v>
      </c>
      <c r="B791" s="2" t="s">
        <v>89</v>
      </c>
      <c r="C791" s="2" t="s">
        <v>1112</v>
      </c>
      <c r="D791" s="259" t="s">
        <v>1113</v>
      </c>
      <c r="E791" s="259"/>
      <c r="F791" s="2" t="s">
        <v>644</v>
      </c>
      <c r="G791" s="37">
        <v>1</v>
      </c>
      <c r="H791" s="38">
        <v>0</v>
      </c>
    </row>
    <row r="792" spans="1:8" x14ac:dyDescent="0.25">
      <c r="A792" s="69"/>
      <c r="D792" s="80" t="s">
        <v>213</v>
      </c>
      <c r="E792" s="361" t="s">
        <v>4</v>
      </c>
      <c r="F792" s="361"/>
      <c r="G792" s="81">
        <v>1</v>
      </c>
      <c r="H792" s="82"/>
    </row>
    <row r="793" spans="1:8" x14ac:dyDescent="0.25">
      <c r="A793" s="1" t="s">
        <v>1115</v>
      </c>
      <c r="B793" s="2" t="s">
        <v>89</v>
      </c>
      <c r="C793" s="2" t="s">
        <v>1116</v>
      </c>
      <c r="D793" s="259" t="s">
        <v>1117</v>
      </c>
      <c r="E793" s="259"/>
      <c r="F793" s="2" t="s">
        <v>1118</v>
      </c>
      <c r="G793" s="37">
        <v>1</v>
      </c>
      <c r="H793" s="38">
        <v>0</v>
      </c>
    </row>
    <row r="794" spans="1:8" x14ac:dyDescent="0.25">
      <c r="A794" s="69"/>
      <c r="D794" s="80" t="s">
        <v>213</v>
      </c>
      <c r="E794" s="361" t="s">
        <v>4</v>
      </c>
      <c r="F794" s="361"/>
      <c r="G794" s="81">
        <v>1</v>
      </c>
      <c r="H794" s="82"/>
    </row>
    <row r="795" spans="1:8" x14ac:dyDescent="0.25">
      <c r="A795" s="1" t="s">
        <v>1121</v>
      </c>
      <c r="B795" s="2" t="s">
        <v>89</v>
      </c>
      <c r="C795" s="2" t="s">
        <v>1116</v>
      </c>
      <c r="D795" s="259" t="s">
        <v>1122</v>
      </c>
      <c r="E795" s="259"/>
      <c r="F795" s="2" t="s">
        <v>1118</v>
      </c>
      <c r="G795" s="37">
        <v>1</v>
      </c>
      <c r="H795" s="38">
        <v>0</v>
      </c>
    </row>
    <row r="796" spans="1:8" x14ac:dyDescent="0.25">
      <c r="A796" s="69"/>
      <c r="D796" s="80" t="s">
        <v>213</v>
      </c>
      <c r="E796" s="361" t="s">
        <v>4</v>
      </c>
      <c r="F796" s="361"/>
      <c r="G796" s="81">
        <v>1</v>
      </c>
      <c r="H796" s="82"/>
    </row>
    <row r="797" spans="1:8" x14ac:dyDescent="0.25">
      <c r="A797" s="1" t="s">
        <v>1123</v>
      </c>
      <c r="B797" s="2" t="s">
        <v>89</v>
      </c>
      <c r="C797" s="2" t="s">
        <v>1124</v>
      </c>
      <c r="D797" s="259" t="s">
        <v>26</v>
      </c>
      <c r="E797" s="259"/>
      <c r="F797" s="2" t="s">
        <v>1118</v>
      </c>
      <c r="G797" s="37">
        <v>1</v>
      </c>
      <c r="H797" s="38">
        <v>0</v>
      </c>
    </row>
    <row r="798" spans="1:8" x14ac:dyDescent="0.25">
      <c r="A798" s="69"/>
      <c r="D798" s="80" t="s">
        <v>213</v>
      </c>
      <c r="E798" s="361" t="s">
        <v>4</v>
      </c>
      <c r="F798" s="361"/>
      <c r="G798" s="81">
        <v>1</v>
      </c>
      <c r="H798" s="82"/>
    </row>
    <row r="799" spans="1:8" x14ac:dyDescent="0.25">
      <c r="A799" s="1" t="s">
        <v>1126</v>
      </c>
      <c r="B799" s="2" t="s">
        <v>89</v>
      </c>
      <c r="C799" s="2" t="s">
        <v>1127</v>
      </c>
      <c r="D799" s="259" t="s">
        <v>1128</v>
      </c>
      <c r="E799" s="259"/>
      <c r="F799" s="2" t="s">
        <v>1118</v>
      </c>
      <c r="G799" s="37">
        <v>1</v>
      </c>
      <c r="H799" s="38">
        <v>0</v>
      </c>
    </row>
    <row r="800" spans="1:8" x14ac:dyDescent="0.25">
      <c r="A800" s="69"/>
      <c r="D800" s="80" t="s">
        <v>213</v>
      </c>
      <c r="E800" s="361" t="s">
        <v>4</v>
      </c>
      <c r="F800" s="361"/>
      <c r="G800" s="81">
        <v>1</v>
      </c>
      <c r="H800" s="82"/>
    </row>
    <row r="801" spans="1:8" x14ac:dyDescent="0.25">
      <c r="A801" s="1" t="s">
        <v>1130</v>
      </c>
      <c r="B801" s="2" t="s">
        <v>89</v>
      </c>
      <c r="C801" s="2" t="s">
        <v>1131</v>
      </c>
      <c r="D801" s="259" t="s">
        <v>1132</v>
      </c>
      <c r="E801" s="259"/>
      <c r="F801" s="2" t="s">
        <v>1118</v>
      </c>
      <c r="G801" s="37">
        <v>1</v>
      </c>
      <c r="H801" s="38">
        <v>0</v>
      </c>
    </row>
    <row r="802" spans="1:8" x14ac:dyDescent="0.25">
      <c r="A802" s="69"/>
      <c r="D802" s="80" t="s">
        <v>213</v>
      </c>
      <c r="E802" s="361" t="s">
        <v>4</v>
      </c>
      <c r="F802" s="361"/>
      <c r="G802" s="81">
        <v>1</v>
      </c>
      <c r="H802" s="82"/>
    </row>
    <row r="803" spans="1:8" x14ac:dyDescent="0.25">
      <c r="A803" s="1" t="s">
        <v>1134</v>
      </c>
      <c r="B803" s="2" t="s">
        <v>89</v>
      </c>
      <c r="C803" s="2" t="s">
        <v>1135</v>
      </c>
      <c r="D803" s="259" t="s">
        <v>1136</v>
      </c>
      <c r="E803" s="259"/>
      <c r="F803" s="2" t="s">
        <v>1118</v>
      </c>
      <c r="G803" s="37">
        <v>1</v>
      </c>
      <c r="H803" s="38">
        <v>0</v>
      </c>
    </row>
    <row r="804" spans="1:8" x14ac:dyDescent="0.25">
      <c r="A804" s="69"/>
      <c r="D804" s="80" t="s">
        <v>213</v>
      </c>
      <c r="E804" s="361" t="s">
        <v>4</v>
      </c>
      <c r="F804" s="361"/>
      <c r="G804" s="81">
        <v>1</v>
      </c>
      <c r="H804" s="82"/>
    </row>
    <row r="805" spans="1:8" x14ac:dyDescent="0.25">
      <c r="A805" s="1" t="s">
        <v>1137</v>
      </c>
      <c r="B805" s="2" t="s">
        <v>89</v>
      </c>
      <c r="C805" s="2" t="s">
        <v>1138</v>
      </c>
      <c r="D805" s="259" t="s">
        <v>1139</v>
      </c>
      <c r="E805" s="259"/>
      <c r="F805" s="2" t="s">
        <v>1118</v>
      </c>
      <c r="G805" s="37">
        <v>1</v>
      </c>
      <c r="H805" s="38">
        <v>0</v>
      </c>
    </row>
    <row r="806" spans="1:8" x14ac:dyDescent="0.25">
      <c r="A806" s="84"/>
      <c r="B806" s="85"/>
      <c r="C806" s="85"/>
      <c r="D806" s="86" t="s">
        <v>213</v>
      </c>
      <c r="E806" s="362" t="s">
        <v>4</v>
      </c>
      <c r="F806" s="362"/>
      <c r="G806" s="87">
        <v>1</v>
      </c>
      <c r="H806" s="88"/>
    </row>
    <row r="808" spans="1:8" x14ac:dyDescent="0.25">
      <c r="A808" s="42" t="s">
        <v>57</v>
      </c>
    </row>
    <row r="809" spans="1:8" ht="67.5" customHeight="1" x14ac:dyDescent="0.25">
      <c r="A809" s="258" t="s">
        <v>181</v>
      </c>
      <c r="B809" s="259"/>
      <c r="C809" s="259"/>
      <c r="D809" s="259"/>
      <c r="E809" s="259"/>
      <c r="F809" s="259"/>
      <c r="G809" s="259"/>
    </row>
  </sheetData>
  <sheetProtection password="CC89" sheet="1"/>
  <mergeCells count="815"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D14:E14"/>
    <mergeCell ref="D15:E15"/>
    <mergeCell ref="D16:E16"/>
    <mergeCell ref="D17:E17"/>
    <mergeCell ref="D18:E18"/>
    <mergeCell ref="F8:H9"/>
    <mergeCell ref="D10:E10"/>
    <mergeCell ref="D11:E11"/>
    <mergeCell ref="D12:E12"/>
    <mergeCell ref="D13:E1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E64:F64"/>
    <mergeCell ref="D65:E65"/>
    <mergeCell ref="E66:F66"/>
    <mergeCell ref="D67:E67"/>
    <mergeCell ref="E68:F68"/>
    <mergeCell ref="E59:F59"/>
    <mergeCell ref="D60:E60"/>
    <mergeCell ref="E61:F61"/>
    <mergeCell ref="E62:F62"/>
    <mergeCell ref="E63:F63"/>
    <mergeCell ref="E74:F74"/>
    <mergeCell ref="E75:F75"/>
    <mergeCell ref="D76:E76"/>
    <mergeCell ref="E77:F77"/>
    <mergeCell ref="E78:F78"/>
    <mergeCell ref="E69:F69"/>
    <mergeCell ref="D70:E70"/>
    <mergeCell ref="E71:F71"/>
    <mergeCell ref="E72:F72"/>
    <mergeCell ref="D73:E73"/>
    <mergeCell ref="E84:F84"/>
    <mergeCell ref="E85:F85"/>
    <mergeCell ref="D86:E86"/>
    <mergeCell ref="E87:F87"/>
    <mergeCell ref="D88:E88"/>
    <mergeCell ref="E79:F79"/>
    <mergeCell ref="E80:F80"/>
    <mergeCell ref="D81:E81"/>
    <mergeCell ref="E82:F82"/>
    <mergeCell ref="D83:E83"/>
    <mergeCell ref="D94:E94"/>
    <mergeCell ref="E95:F95"/>
    <mergeCell ref="E96:F96"/>
    <mergeCell ref="D97:E97"/>
    <mergeCell ref="E98:F98"/>
    <mergeCell ref="E89:F89"/>
    <mergeCell ref="D90:E90"/>
    <mergeCell ref="E91:F91"/>
    <mergeCell ref="D92:E92"/>
    <mergeCell ref="E93:F93"/>
    <mergeCell ref="D104:E104"/>
    <mergeCell ref="E105:F105"/>
    <mergeCell ref="E106:F106"/>
    <mergeCell ref="D107:E107"/>
    <mergeCell ref="E108:F108"/>
    <mergeCell ref="E99:F99"/>
    <mergeCell ref="D100:E100"/>
    <mergeCell ref="E101:F101"/>
    <mergeCell ref="D102:E102"/>
    <mergeCell ref="E103:F103"/>
    <mergeCell ref="E114:F114"/>
    <mergeCell ref="E115:F115"/>
    <mergeCell ref="D116:E116"/>
    <mergeCell ref="E117:F117"/>
    <mergeCell ref="E118:F118"/>
    <mergeCell ref="E109:F109"/>
    <mergeCell ref="D110:E110"/>
    <mergeCell ref="E111:F111"/>
    <mergeCell ref="E112:F112"/>
    <mergeCell ref="D113:E113"/>
    <mergeCell ref="E124:F124"/>
    <mergeCell ref="E125:F125"/>
    <mergeCell ref="E126:F126"/>
    <mergeCell ref="E127:F127"/>
    <mergeCell ref="D128:E128"/>
    <mergeCell ref="D119:E119"/>
    <mergeCell ref="E120:F120"/>
    <mergeCell ref="D121:E121"/>
    <mergeCell ref="E122:F122"/>
    <mergeCell ref="D123:E123"/>
    <mergeCell ref="D134:E134"/>
    <mergeCell ref="E135:F135"/>
    <mergeCell ref="E136:F136"/>
    <mergeCell ref="E137:F137"/>
    <mergeCell ref="D138:E138"/>
    <mergeCell ref="E129:F129"/>
    <mergeCell ref="E130:F130"/>
    <mergeCell ref="D131:E131"/>
    <mergeCell ref="E132:F132"/>
    <mergeCell ref="E133:F133"/>
    <mergeCell ref="E144:F144"/>
    <mergeCell ref="D145:E145"/>
    <mergeCell ref="E146:F146"/>
    <mergeCell ref="D147:E147"/>
    <mergeCell ref="E148:F148"/>
    <mergeCell ref="E139:F139"/>
    <mergeCell ref="D140:E140"/>
    <mergeCell ref="E141:F141"/>
    <mergeCell ref="D142:E142"/>
    <mergeCell ref="E143:F143"/>
    <mergeCell ref="D154:E154"/>
    <mergeCell ref="E155:F155"/>
    <mergeCell ref="E156:F156"/>
    <mergeCell ref="D157:E157"/>
    <mergeCell ref="E158:F158"/>
    <mergeCell ref="D149:E149"/>
    <mergeCell ref="E150:F150"/>
    <mergeCell ref="E151:F151"/>
    <mergeCell ref="D152:E152"/>
    <mergeCell ref="E153:F153"/>
    <mergeCell ref="D164:E164"/>
    <mergeCell ref="E165:F165"/>
    <mergeCell ref="E166:F166"/>
    <mergeCell ref="D167:E167"/>
    <mergeCell ref="E168:F168"/>
    <mergeCell ref="E159:F159"/>
    <mergeCell ref="D160:E160"/>
    <mergeCell ref="E161:F161"/>
    <mergeCell ref="D162:E162"/>
    <mergeCell ref="E163:F163"/>
    <mergeCell ref="D174:E174"/>
    <mergeCell ref="E175:F175"/>
    <mergeCell ref="D176:E176"/>
    <mergeCell ref="E177:F177"/>
    <mergeCell ref="E178:F178"/>
    <mergeCell ref="E169:F169"/>
    <mergeCell ref="D170:E170"/>
    <mergeCell ref="E171:F171"/>
    <mergeCell ref="D172:E172"/>
    <mergeCell ref="E173:F173"/>
    <mergeCell ref="D184:E184"/>
    <mergeCell ref="E185:F185"/>
    <mergeCell ref="D186:E186"/>
    <mergeCell ref="E187:F187"/>
    <mergeCell ref="E188:F188"/>
    <mergeCell ref="D179:E179"/>
    <mergeCell ref="E180:F180"/>
    <mergeCell ref="E181:F181"/>
    <mergeCell ref="D182:E182"/>
    <mergeCell ref="E183:F183"/>
    <mergeCell ref="D194:E194"/>
    <mergeCell ref="E195:F195"/>
    <mergeCell ref="D196:E196"/>
    <mergeCell ref="E197:F197"/>
    <mergeCell ref="D198:E198"/>
    <mergeCell ref="D189:E189"/>
    <mergeCell ref="E190:F190"/>
    <mergeCell ref="D191:E191"/>
    <mergeCell ref="E192:F192"/>
    <mergeCell ref="E193:F193"/>
    <mergeCell ref="D204:E204"/>
    <mergeCell ref="E205:F205"/>
    <mergeCell ref="D206:E206"/>
    <mergeCell ref="E207:F207"/>
    <mergeCell ref="D208:E208"/>
    <mergeCell ref="E199:F199"/>
    <mergeCell ref="D200:E200"/>
    <mergeCell ref="E201:F201"/>
    <mergeCell ref="E202:F202"/>
    <mergeCell ref="E203:F203"/>
    <mergeCell ref="E214:F214"/>
    <mergeCell ref="E215:F215"/>
    <mergeCell ref="E216:F216"/>
    <mergeCell ref="D217:E217"/>
    <mergeCell ref="E218:F218"/>
    <mergeCell ref="E209:F209"/>
    <mergeCell ref="D210:E210"/>
    <mergeCell ref="E211:F211"/>
    <mergeCell ref="D212:E212"/>
    <mergeCell ref="E213:F213"/>
    <mergeCell ref="E224:F224"/>
    <mergeCell ref="E225:F225"/>
    <mergeCell ref="E226:F226"/>
    <mergeCell ref="E227:F227"/>
    <mergeCell ref="D228:E228"/>
    <mergeCell ref="E219:F219"/>
    <mergeCell ref="D220:E220"/>
    <mergeCell ref="E221:F221"/>
    <mergeCell ref="D222:E222"/>
    <mergeCell ref="E223:F223"/>
    <mergeCell ref="E234:F234"/>
    <mergeCell ref="D235:E235"/>
    <mergeCell ref="E236:F236"/>
    <mergeCell ref="E237:F237"/>
    <mergeCell ref="E238:F238"/>
    <mergeCell ref="E229:F229"/>
    <mergeCell ref="E230:F230"/>
    <mergeCell ref="E231:F231"/>
    <mergeCell ref="D232:E232"/>
    <mergeCell ref="E233:F233"/>
    <mergeCell ref="E244:F244"/>
    <mergeCell ref="E245:F245"/>
    <mergeCell ref="E246:F246"/>
    <mergeCell ref="E247:F247"/>
    <mergeCell ref="E248:F248"/>
    <mergeCell ref="E239:F239"/>
    <mergeCell ref="E240:F240"/>
    <mergeCell ref="E241:F241"/>
    <mergeCell ref="E242:F242"/>
    <mergeCell ref="E243:F243"/>
    <mergeCell ref="E254:F254"/>
    <mergeCell ref="D255:E255"/>
    <mergeCell ref="E256:F256"/>
    <mergeCell ref="D257:E257"/>
    <mergeCell ref="E258:F258"/>
    <mergeCell ref="E249:F249"/>
    <mergeCell ref="E250:F250"/>
    <mergeCell ref="E251:F251"/>
    <mergeCell ref="E252:F252"/>
    <mergeCell ref="E253:F253"/>
    <mergeCell ref="E264:F264"/>
    <mergeCell ref="E265:F265"/>
    <mergeCell ref="D266:E266"/>
    <mergeCell ref="E267:F267"/>
    <mergeCell ref="E268:F268"/>
    <mergeCell ref="D259:E259"/>
    <mergeCell ref="E260:F260"/>
    <mergeCell ref="D261:E261"/>
    <mergeCell ref="E262:F262"/>
    <mergeCell ref="E263:F263"/>
    <mergeCell ref="E274:F274"/>
    <mergeCell ref="E275:F275"/>
    <mergeCell ref="E276:F276"/>
    <mergeCell ref="E277:F277"/>
    <mergeCell ref="E278:F278"/>
    <mergeCell ref="E269:F269"/>
    <mergeCell ref="E270:F270"/>
    <mergeCell ref="D271:E271"/>
    <mergeCell ref="E272:F272"/>
    <mergeCell ref="E273:F273"/>
    <mergeCell ref="E284:F284"/>
    <mergeCell ref="E285:F285"/>
    <mergeCell ref="E286:F286"/>
    <mergeCell ref="D287:E287"/>
    <mergeCell ref="D288:E288"/>
    <mergeCell ref="E279:F279"/>
    <mergeCell ref="E280:F280"/>
    <mergeCell ref="E281:F281"/>
    <mergeCell ref="E282:F282"/>
    <mergeCell ref="E283:F283"/>
    <mergeCell ref="D294:E294"/>
    <mergeCell ref="E295:F295"/>
    <mergeCell ref="D296:E296"/>
    <mergeCell ref="E297:F297"/>
    <mergeCell ref="E298:F298"/>
    <mergeCell ref="E289:F289"/>
    <mergeCell ref="D290:E290"/>
    <mergeCell ref="E291:F291"/>
    <mergeCell ref="D292:E292"/>
    <mergeCell ref="E293:F293"/>
    <mergeCell ref="D304:E304"/>
    <mergeCell ref="E305:F305"/>
    <mergeCell ref="E306:F306"/>
    <mergeCell ref="E307:F307"/>
    <mergeCell ref="E308:F308"/>
    <mergeCell ref="E299:F299"/>
    <mergeCell ref="D300:E300"/>
    <mergeCell ref="E301:F301"/>
    <mergeCell ref="E302:F302"/>
    <mergeCell ref="E303:F303"/>
    <mergeCell ref="E314:F314"/>
    <mergeCell ref="D315:E315"/>
    <mergeCell ref="E316:F316"/>
    <mergeCell ref="D317:E317"/>
    <mergeCell ref="E318:F318"/>
    <mergeCell ref="D309:E309"/>
    <mergeCell ref="E310:F310"/>
    <mergeCell ref="E311:F311"/>
    <mergeCell ref="E312:F312"/>
    <mergeCell ref="D313:E313"/>
    <mergeCell ref="E324:F324"/>
    <mergeCell ref="D325:E325"/>
    <mergeCell ref="E326:F326"/>
    <mergeCell ref="D327:E327"/>
    <mergeCell ref="E328:F328"/>
    <mergeCell ref="D319:E319"/>
    <mergeCell ref="E320:F320"/>
    <mergeCell ref="D321:E321"/>
    <mergeCell ref="E322:F322"/>
    <mergeCell ref="D323:E323"/>
    <mergeCell ref="E334:F334"/>
    <mergeCell ref="D335:E335"/>
    <mergeCell ref="E336:F336"/>
    <mergeCell ref="D337:E337"/>
    <mergeCell ref="E338:F338"/>
    <mergeCell ref="D329:E329"/>
    <mergeCell ref="E330:F330"/>
    <mergeCell ref="D331:E331"/>
    <mergeCell ref="E332:F332"/>
    <mergeCell ref="D333:E333"/>
    <mergeCell ref="E344:F344"/>
    <mergeCell ref="D345:E345"/>
    <mergeCell ref="E346:F346"/>
    <mergeCell ref="D347:E347"/>
    <mergeCell ref="E348:F348"/>
    <mergeCell ref="D339:E339"/>
    <mergeCell ref="E340:F340"/>
    <mergeCell ref="D341:E341"/>
    <mergeCell ref="E342:F342"/>
    <mergeCell ref="D343:E343"/>
    <mergeCell ref="E354:F354"/>
    <mergeCell ref="D355:E355"/>
    <mergeCell ref="E356:F356"/>
    <mergeCell ref="D357:E357"/>
    <mergeCell ref="E358:F358"/>
    <mergeCell ref="D349:E349"/>
    <mergeCell ref="E350:F350"/>
    <mergeCell ref="D351:E351"/>
    <mergeCell ref="E352:F352"/>
    <mergeCell ref="D353:E353"/>
    <mergeCell ref="E364:F364"/>
    <mergeCell ref="D365:E365"/>
    <mergeCell ref="E366:F366"/>
    <mergeCell ref="D367:E367"/>
    <mergeCell ref="E368:F368"/>
    <mergeCell ref="D359:E359"/>
    <mergeCell ref="E360:F360"/>
    <mergeCell ref="D361:E361"/>
    <mergeCell ref="E362:F362"/>
    <mergeCell ref="D363:E363"/>
    <mergeCell ref="E374:F374"/>
    <mergeCell ref="D375:E375"/>
    <mergeCell ref="E376:F376"/>
    <mergeCell ref="D377:E377"/>
    <mergeCell ref="E378:F378"/>
    <mergeCell ref="D369:E369"/>
    <mergeCell ref="E370:F370"/>
    <mergeCell ref="D371:E371"/>
    <mergeCell ref="E372:F372"/>
    <mergeCell ref="D373:E373"/>
    <mergeCell ref="E384:F384"/>
    <mergeCell ref="D385:G385"/>
    <mergeCell ref="D386:E386"/>
    <mergeCell ref="E387:F387"/>
    <mergeCell ref="D388:E388"/>
    <mergeCell ref="D379:E379"/>
    <mergeCell ref="E380:F380"/>
    <mergeCell ref="D381:E381"/>
    <mergeCell ref="E382:F382"/>
    <mergeCell ref="D383:E383"/>
    <mergeCell ref="D394:E394"/>
    <mergeCell ref="E395:F395"/>
    <mergeCell ref="D396:E396"/>
    <mergeCell ref="E397:F397"/>
    <mergeCell ref="D398:E398"/>
    <mergeCell ref="E389:F389"/>
    <mergeCell ref="D390:E390"/>
    <mergeCell ref="E391:F391"/>
    <mergeCell ref="D392:E392"/>
    <mergeCell ref="E393:F393"/>
    <mergeCell ref="D404:E404"/>
    <mergeCell ref="E405:F405"/>
    <mergeCell ref="D406:E406"/>
    <mergeCell ref="E407:F407"/>
    <mergeCell ref="D408:E408"/>
    <mergeCell ref="E399:F399"/>
    <mergeCell ref="D400:E400"/>
    <mergeCell ref="E401:F401"/>
    <mergeCell ref="D402:E402"/>
    <mergeCell ref="E403:F403"/>
    <mergeCell ref="D414:E414"/>
    <mergeCell ref="E415:F415"/>
    <mergeCell ref="D416:E416"/>
    <mergeCell ref="E417:F417"/>
    <mergeCell ref="D418:E418"/>
    <mergeCell ref="E409:F409"/>
    <mergeCell ref="D410:E410"/>
    <mergeCell ref="E411:F411"/>
    <mergeCell ref="D412:E412"/>
    <mergeCell ref="E413:F413"/>
    <mergeCell ref="D424:E424"/>
    <mergeCell ref="E425:F425"/>
    <mergeCell ref="D426:E426"/>
    <mergeCell ref="E427:F427"/>
    <mergeCell ref="D428:E428"/>
    <mergeCell ref="E419:F419"/>
    <mergeCell ref="D420:E420"/>
    <mergeCell ref="E421:F421"/>
    <mergeCell ref="D422:E422"/>
    <mergeCell ref="E423:F423"/>
    <mergeCell ref="E434:F434"/>
    <mergeCell ref="D435:E435"/>
    <mergeCell ref="E436:F436"/>
    <mergeCell ref="E437:F437"/>
    <mergeCell ref="D438:E438"/>
    <mergeCell ref="E429:F429"/>
    <mergeCell ref="D430:E430"/>
    <mergeCell ref="E431:F431"/>
    <mergeCell ref="E432:F432"/>
    <mergeCell ref="D433:E433"/>
    <mergeCell ref="D444:E444"/>
    <mergeCell ref="E445:F445"/>
    <mergeCell ref="E446:F446"/>
    <mergeCell ref="E447:F447"/>
    <mergeCell ref="D448:E448"/>
    <mergeCell ref="E439:F439"/>
    <mergeCell ref="D440:E440"/>
    <mergeCell ref="E441:F441"/>
    <mergeCell ref="E442:F442"/>
    <mergeCell ref="E443:F443"/>
    <mergeCell ref="E454:F454"/>
    <mergeCell ref="E455:F455"/>
    <mergeCell ref="E456:F456"/>
    <mergeCell ref="E457:F457"/>
    <mergeCell ref="E458:F458"/>
    <mergeCell ref="E449:F449"/>
    <mergeCell ref="D450:E450"/>
    <mergeCell ref="E451:F451"/>
    <mergeCell ref="E452:F452"/>
    <mergeCell ref="E453:F453"/>
    <mergeCell ref="D464:E464"/>
    <mergeCell ref="E465:F465"/>
    <mergeCell ref="D466:E466"/>
    <mergeCell ref="E467:F467"/>
    <mergeCell ref="D468:E468"/>
    <mergeCell ref="E459:F459"/>
    <mergeCell ref="D460:E460"/>
    <mergeCell ref="E461:F461"/>
    <mergeCell ref="D462:E462"/>
    <mergeCell ref="E463:F463"/>
    <mergeCell ref="D474:E474"/>
    <mergeCell ref="E475:F475"/>
    <mergeCell ref="D476:E476"/>
    <mergeCell ref="E477:F477"/>
    <mergeCell ref="D478:E478"/>
    <mergeCell ref="E469:F469"/>
    <mergeCell ref="D470:E470"/>
    <mergeCell ref="E471:F471"/>
    <mergeCell ref="D472:E472"/>
    <mergeCell ref="E473:F473"/>
    <mergeCell ref="D484:E484"/>
    <mergeCell ref="E485:F485"/>
    <mergeCell ref="D486:E486"/>
    <mergeCell ref="E487:F487"/>
    <mergeCell ref="D488:E488"/>
    <mergeCell ref="E479:F479"/>
    <mergeCell ref="D480:E480"/>
    <mergeCell ref="E481:F481"/>
    <mergeCell ref="D482:E482"/>
    <mergeCell ref="E483:F483"/>
    <mergeCell ref="E494:F494"/>
    <mergeCell ref="D495:E495"/>
    <mergeCell ref="E496:F496"/>
    <mergeCell ref="D497:E497"/>
    <mergeCell ref="E498:F498"/>
    <mergeCell ref="E489:F489"/>
    <mergeCell ref="E490:F490"/>
    <mergeCell ref="E491:F491"/>
    <mergeCell ref="E492:F492"/>
    <mergeCell ref="E493:F493"/>
    <mergeCell ref="E504:F504"/>
    <mergeCell ref="D505:E505"/>
    <mergeCell ref="E506:F506"/>
    <mergeCell ref="D507:E507"/>
    <mergeCell ref="E508:F508"/>
    <mergeCell ref="D499:E499"/>
    <mergeCell ref="E500:F500"/>
    <mergeCell ref="D501:E501"/>
    <mergeCell ref="E502:F502"/>
    <mergeCell ref="D503:E503"/>
    <mergeCell ref="E514:F514"/>
    <mergeCell ref="D515:E515"/>
    <mergeCell ref="E516:F516"/>
    <mergeCell ref="D517:E517"/>
    <mergeCell ref="E518:F518"/>
    <mergeCell ref="E509:F509"/>
    <mergeCell ref="E510:F510"/>
    <mergeCell ref="E511:F511"/>
    <mergeCell ref="E512:F512"/>
    <mergeCell ref="D513:E513"/>
    <mergeCell ref="E524:F524"/>
    <mergeCell ref="E525:F525"/>
    <mergeCell ref="E526:F526"/>
    <mergeCell ref="D527:E527"/>
    <mergeCell ref="E528:F528"/>
    <mergeCell ref="D519:E519"/>
    <mergeCell ref="E520:F520"/>
    <mergeCell ref="D521:E521"/>
    <mergeCell ref="E522:F522"/>
    <mergeCell ref="D523:E523"/>
    <mergeCell ref="E534:F534"/>
    <mergeCell ref="E535:F535"/>
    <mergeCell ref="E536:F536"/>
    <mergeCell ref="E537:F537"/>
    <mergeCell ref="D538:E538"/>
    <mergeCell ref="D529:E529"/>
    <mergeCell ref="E530:F530"/>
    <mergeCell ref="D531:E531"/>
    <mergeCell ref="E532:F532"/>
    <mergeCell ref="D533:E533"/>
    <mergeCell ref="D544:E544"/>
    <mergeCell ref="E545:F545"/>
    <mergeCell ref="D546:E546"/>
    <mergeCell ref="E547:F547"/>
    <mergeCell ref="D548:E548"/>
    <mergeCell ref="E539:F539"/>
    <mergeCell ref="D540:E540"/>
    <mergeCell ref="E541:F541"/>
    <mergeCell ref="D542:E542"/>
    <mergeCell ref="E543:F543"/>
    <mergeCell ref="E554:F554"/>
    <mergeCell ref="E555:F555"/>
    <mergeCell ref="D556:E556"/>
    <mergeCell ref="E557:F557"/>
    <mergeCell ref="E558:F558"/>
    <mergeCell ref="E549:F549"/>
    <mergeCell ref="D550:E550"/>
    <mergeCell ref="E551:F551"/>
    <mergeCell ref="E552:F552"/>
    <mergeCell ref="D553:E553"/>
    <mergeCell ref="E564:F564"/>
    <mergeCell ref="D565:E565"/>
    <mergeCell ref="E566:F566"/>
    <mergeCell ref="D567:E567"/>
    <mergeCell ref="E568:F568"/>
    <mergeCell ref="D559:E559"/>
    <mergeCell ref="E560:F560"/>
    <mergeCell ref="D561:E561"/>
    <mergeCell ref="E562:F562"/>
    <mergeCell ref="D563:E563"/>
    <mergeCell ref="E574:F574"/>
    <mergeCell ref="D575:E575"/>
    <mergeCell ref="E576:F576"/>
    <mergeCell ref="D577:E577"/>
    <mergeCell ref="E578:F578"/>
    <mergeCell ref="D569:E569"/>
    <mergeCell ref="E570:F570"/>
    <mergeCell ref="D571:E571"/>
    <mergeCell ref="E572:F572"/>
    <mergeCell ref="D573:E573"/>
    <mergeCell ref="E584:F584"/>
    <mergeCell ref="E585:F585"/>
    <mergeCell ref="E586:F586"/>
    <mergeCell ref="D587:E587"/>
    <mergeCell ref="E588:F588"/>
    <mergeCell ref="D579:E579"/>
    <mergeCell ref="E580:F580"/>
    <mergeCell ref="D581:E581"/>
    <mergeCell ref="E582:F582"/>
    <mergeCell ref="D583:E583"/>
    <mergeCell ref="E594:F594"/>
    <mergeCell ref="D595:E595"/>
    <mergeCell ref="E596:F596"/>
    <mergeCell ref="E597:F597"/>
    <mergeCell ref="E598:F598"/>
    <mergeCell ref="E589:F589"/>
    <mergeCell ref="E590:F590"/>
    <mergeCell ref="D591:E591"/>
    <mergeCell ref="E592:F592"/>
    <mergeCell ref="E593:F593"/>
    <mergeCell ref="D604:E604"/>
    <mergeCell ref="E605:F605"/>
    <mergeCell ref="D606:E606"/>
    <mergeCell ref="E607:F607"/>
    <mergeCell ref="D608:E608"/>
    <mergeCell ref="D599:E599"/>
    <mergeCell ref="E600:F600"/>
    <mergeCell ref="D601:E601"/>
    <mergeCell ref="E602:F602"/>
    <mergeCell ref="E603:F603"/>
    <mergeCell ref="E614:F614"/>
    <mergeCell ref="D615:E615"/>
    <mergeCell ref="E616:F616"/>
    <mergeCell ref="D617:E617"/>
    <mergeCell ref="E618:F618"/>
    <mergeCell ref="E609:F609"/>
    <mergeCell ref="D610:E610"/>
    <mergeCell ref="E611:F611"/>
    <mergeCell ref="E612:F612"/>
    <mergeCell ref="D613:E613"/>
    <mergeCell ref="E624:F624"/>
    <mergeCell ref="E625:F625"/>
    <mergeCell ref="D626:E626"/>
    <mergeCell ref="E627:F627"/>
    <mergeCell ref="D628:E628"/>
    <mergeCell ref="E619:F619"/>
    <mergeCell ref="E620:F620"/>
    <mergeCell ref="D621:E621"/>
    <mergeCell ref="E622:F622"/>
    <mergeCell ref="D623:E623"/>
    <mergeCell ref="E634:F634"/>
    <mergeCell ref="E635:F635"/>
    <mergeCell ref="E636:F636"/>
    <mergeCell ref="E637:F637"/>
    <mergeCell ref="E638:F638"/>
    <mergeCell ref="E629:F629"/>
    <mergeCell ref="D630:E630"/>
    <mergeCell ref="E631:F631"/>
    <mergeCell ref="D632:E632"/>
    <mergeCell ref="E633:F633"/>
    <mergeCell ref="D644:E644"/>
    <mergeCell ref="E645:F645"/>
    <mergeCell ref="D646:E646"/>
    <mergeCell ref="E647:F647"/>
    <mergeCell ref="D648:E648"/>
    <mergeCell ref="E639:F639"/>
    <mergeCell ref="E640:F640"/>
    <mergeCell ref="E641:F641"/>
    <mergeCell ref="D642:E642"/>
    <mergeCell ref="E643:F643"/>
    <mergeCell ref="D654:E654"/>
    <mergeCell ref="E655:F655"/>
    <mergeCell ref="D656:E656"/>
    <mergeCell ref="E657:F657"/>
    <mergeCell ref="D658:E658"/>
    <mergeCell ref="E649:F649"/>
    <mergeCell ref="D650:E650"/>
    <mergeCell ref="E651:F651"/>
    <mergeCell ref="D652:E652"/>
    <mergeCell ref="E653:F653"/>
    <mergeCell ref="E664:F664"/>
    <mergeCell ref="D665:E665"/>
    <mergeCell ref="E666:F666"/>
    <mergeCell ref="D667:E667"/>
    <mergeCell ref="E668:F668"/>
    <mergeCell ref="E659:F659"/>
    <mergeCell ref="D660:E660"/>
    <mergeCell ref="E661:F661"/>
    <mergeCell ref="E662:F662"/>
    <mergeCell ref="E663:F663"/>
    <mergeCell ref="E674:F674"/>
    <mergeCell ref="D675:E675"/>
    <mergeCell ref="E676:F676"/>
    <mergeCell ref="D677:E677"/>
    <mergeCell ref="E678:F678"/>
    <mergeCell ref="D669:E669"/>
    <mergeCell ref="E670:F670"/>
    <mergeCell ref="D671:E671"/>
    <mergeCell ref="E672:F672"/>
    <mergeCell ref="D673:E673"/>
    <mergeCell ref="E684:F684"/>
    <mergeCell ref="D685:E685"/>
    <mergeCell ref="E686:F686"/>
    <mergeCell ref="D687:E687"/>
    <mergeCell ref="D688:E688"/>
    <mergeCell ref="D679:E679"/>
    <mergeCell ref="E680:F680"/>
    <mergeCell ref="D681:E681"/>
    <mergeCell ref="E682:F682"/>
    <mergeCell ref="D683:E683"/>
    <mergeCell ref="D694:E694"/>
    <mergeCell ref="E695:F695"/>
    <mergeCell ref="E696:F696"/>
    <mergeCell ref="D697:E697"/>
    <mergeCell ref="E698:F698"/>
    <mergeCell ref="E689:F689"/>
    <mergeCell ref="E690:F690"/>
    <mergeCell ref="D691:E691"/>
    <mergeCell ref="E692:F692"/>
    <mergeCell ref="E693:F693"/>
    <mergeCell ref="D704:E704"/>
    <mergeCell ref="E705:F705"/>
    <mergeCell ref="E706:F706"/>
    <mergeCell ref="D707:E707"/>
    <mergeCell ref="E708:F708"/>
    <mergeCell ref="D699:E699"/>
    <mergeCell ref="E700:F700"/>
    <mergeCell ref="E701:F701"/>
    <mergeCell ref="D702:E702"/>
    <mergeCell ref="E703:F703"/>
    <mergeCell ref="D714:E714"/>
    <mergeCell ref="E715:F715"/>
    <mergeCell ref="E716:F716"/>
    <mergeCell ref="D717:E717"/>
    <mergeCell ref="E718:F718"/>
    <mergeCell ref="D709:E709"/>
    <mergeCell ref="D710:E710"/>
    <mergeCell ref="E711:F711"/>
    <mergeCell ref="E712:F712"/>
    <mergeCell ref="E713:F713"/>
    <mergeCell ref="E724:F724"/>
    <mergeCell ref="D725:E725"/>
    <mergeCell ref="E726:F726"/>
    <mergeCell ref="D727:E727"/>
    <mergeCell ref="E728:F728"/>
    <mergeCell ref="E719:F719"/>
    <mergeCell ref="E720:F720"/>
    <mergeCell ref="E721:F721"/>
    <mergeCell ref="E722:F722"/>
    <mergeCell ref="E723:F723"/>
    <mergeCell ref="E734:F734"/>
    <mergeCell ref="D735:E735"/>
    <mergeCell ref="E736:F736"/>
    <mergeCell ref="D737:E737"/>
    <mergeCell ref="E738:F738"/>
    <mergeCell ref="D729:E729"/>
    <mergeCell ref="E730:F730"/>
    <mergeCell ref="D731:E731"/>
    <mergeCell ref="E732:F732"/>
    <mergeCell ref="D733:E733"/>
    <mergeCell ref="E744:F744"/>
    <mergeCell ref="D745:E745"/>
    <mergeCell ref="E746:F746"/>
    <mergeCell ref="D747:E747"/>
    <mergeCell ref="E748:F748"/>
    <mergeCell ref="E739:F739"/>
    <mergeCell ref="D740:E740"/>
    <mergeCell ref="E741:F741"/>
    <mergeCell ref="D742:E742"/>
    <mergeCell ref="E743:F743"/>
    <mergeCell ref="D754:E754"/>
    <mergeCell ref="E755:F755"/>
    <mergeCell ref="D756:E756"/>
    <mergeCell ref="E757:F757"/>
    <mergeCell ref="D758:E758"/>
    <mergeCell ref="D749:E749"/>
    <mergeCell ref="E750:F750"/>
    <mergeCell ref="D751:E751"/>
    <mergeCell ref="D752:E752"/>
    <mergeCell ref="E753:F753"/>
    <mergeCell ref="D764:E764"/>
    <mergeCell ref="E765:F765"/>
    <mergeCell ref="D766:E766"/>
    <mergeCell ref="E767:F767"/>
    <mergeCell ref="D768:E768"/>
    <mergeCell ref="E759:F759"/>
    <mergeCell ref="D760:E760"/>
    <mergeCell ref="E761:F761"/>
    <mergeCell ref="D762:E762"/>
    <mergeCell ref="E763:F763"/>
    <mergeCell ref="D774:E774"/>
    <mergeCell ref="E775:F775"/>
    <mergeCell ref="D776:E776"/>
    <mergeCell ref="D777:E777"/>
    <mergeCell ref="E778:F778"/>
    <mergeCell ref="E769:F769"/>
    <mergeCell ref="D770:E770"/>
    <mergeCell ref="E771:F771"/>
    <mergeCell ref="D772:E772"/>
    <mergeCell ref="E773:F773"/>
    <mergeCell ref="E784:F784"/>
    <mergeCell ref="D785:E785"/>
    <mergeCell ref="E786:F786"/>
    <mergeCell ref="D787:E787"/>
    <mergeCell ref="E788:F788"/>
    <mergeCell ref="E779:F779"/>
    <mergeCell ref="D780:E780"/>
    <mergeCell ref="D781:E781"/>
    <mergeCell ref="E782:F782"/>
    <mergeCell ref="D783:E783"/>
    <mergeCell ref="E794:F794"/>
    <mergeCell ref="D795:E795"/>
    <mergeCell ref="E796:F796"/>
    <mergeCell ref="D797:E797"/>
    <mergeCell ref="E798:F798"/>
    <mergeCell ref="D789:E789"/>
    <mergeCell ref="E790:F790"/>
    <mergeCell ref="D791:E791"/>
    <mergeCell ref="E792:F792"/>
    <mergeCell ref="D793:E793"/>
    <mergeCell ref="E804:F804"/>
    <mergeCell ref="D805:E805"/>
    <mergeCell ref="E806:F806"/>
    <mergeCell ref="A809:G809"/>
    <mergeCell ref="D799:E799"/>
    <mergeCell ref="E800:F800"/>
    <mergeCell ref="D801:E801"/>
    <mergeCell ref="E802:F802"/>
    <mergeCell ref="D803:E803"/>
  </mergeCells>
  <pageMargins left="0.393999993801117" right="0.393999993801117" top="0.59100002050399802" bottom="0.59100002050399802" header="0" footer="0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D69E-99AB-4856-B3E9-CDE7306DBEA0}">
  <dimension ref="A1:G32"/>
  <sheetViews>
    <sheetView view="pageBreakPreview" topLeftCell="A18" zoomScale="145" zoomScaleNormal="145" zoomScaleSheetLayoutView="145" workbookViewId="0">
      <selection activeCell="F8" sqref="F8:F29"/>
    </sheetView>
  </sheetViews>
  <sheetFormatPr defaultColWidth="8.85546875" defaultRowHeight="15" x14ac:dyDescent="0.25"/>
  <cols>
    <col min="1" max="1" width="13.28515625" style="92" customWidth="1"/>
    <col min="2" max="2" width="55.42578125" style="92" customWidth="1"/>
    <col min="3" max="3" width="0" style="92" hidden="1" customWidth="1"/>
    <col min="4" max="4" width="8.5703125" style="92" customWidth="1"/>
    <col min="5" max="5" width="8.7109375" style="92" customWidth="1"/>
    <col min="6" max="6" width="10.42578125" style="92" customWidth="1"/>
    <col min="7" max="7" width="12" style="92" customWidth="1"/>
    <col min="8" max="16384" width="8.85546875" style="92"/>
  </cols>
  <sheetData>
    <row r="1" spans="1:7" ht="15" customHeight="1" x14ac:dyDescent="0.25">
      <c r="A1" s="89"/>
      <c r="B1" s="90" t="s">
        <v>1443</v>
      </c>
      <c r="C1" s="91"/>
      <c r="D1" s="365"/>
      <c r="E1" s="366"/>
      <c r="F1" s="369" t="s">
        <v>1444</v>
      </c>
      <c r="G1" s="370"/>
    </row>
    <row r="2" spans="1:7" ht="15" customHeight="1" x14ac:dyDescent="0.25">
      <c r="A2" s="93"/>
      <c r="B2" s="94" t="s">
        <v>1445</v>
      </c>
      <c r="C2" s="95"/>
      <c r="D2" s="367"/>
      <c r="E2" s="368"/>
      <c r="F2" s="371"/>
      <c r="G2" s="372"/>
    </row>
    <row r="3" spans="1:7" ht="17.25" customHeight="1" x14ac:dyDescent="0.25">
      <c r="A3" s="93"/>
      <c r="B3" s="94" t="s">
        <v>1446</v>
      </c>
      <c r="C3" s="95"/>
      <c r="D3" s="97"/>
      <c r="E3" s="96"/>
      <c r="F3" s="98"/>
      <c r="G3" s="99"/>
    </row>
    <row r="4" spans="1:7" ht="15.75" x14ac:dyDescent="0.25">
      <c r="A4" s="100" t="s">
        <v>1447</v>
      </c>
      <c r="B4" s="101"/>
      <c r="C4" s="102"/>
      <c r="D4" s="103"/>
      <c r="E4" s="104"/>
      <c r="F4" s="105"/>
      <c r="G4" s="106"/>
    </row>
    <row r="5" spans="1:7" ht="18" x14ac:dyDescent="0.25">
      <c r="A5" s="107"/>
      <c r="B5" s="373" t="s">
        <v>140</v>
      </c>
      <c r="C5" s="373"/>
      <c r="D5" s="373"/>
      <c r="E5" s="373"/>
      <c r="F5" s="373"/>
      <c r="G5" s="374"/>
    </row>
    <row r="6" spans="1:7" x14ac:dyDescent="0.25">
      <c r="A6" s="108" t="s">
        <v>83</v>
      </c>
      <c r="B6" s="109" t="s">
        <v>1448</v>
      </c>
      <c r="C6" s="109" t="s">
        <v>1449</v>
      </c>
      <c r="D6" s="110" t="s">
        <v>192</v>
      </c>
      <c r="E6" s="111" t="s">
        <v>1450</v>
      </c>
      <c r="F6" s="112" t="s">
        <v>1451</v>
      </c>
      <c r="G6" s="113" t="s">
        <v>1452</v>
      </c>
    </row>
    <row r="7" spans="1:7" s="121" customFormat="1" x14ac:dyDescent="0.25">
      <c r="A7" s="114"/>
      <c r="B7" s="115" t="s">
        <v>1453</v>
      </c>
      <c r="C7" s="116"/>
      <c r="D7" s="117"/>
      <c r="E7" s="118"/>
      <c r="F7" s="119"/>
      <c r="G7" s="120"/>
    </row>
    <row r="8" spans="1:7" x14ac:dyDescent="0.25">
      <c r="A8" s="122" t="str">
        <f>[1]D.skupina!A8</f>
        <v>735001V</v>
      </c>
      <c r="B8" s="123" t="s">
        <v>1454</v>
      </c>
      <c r="C8" s="124"/>
      <c r="D8" s="125">
        <v>4</v>
      </c>
      <c r="E8" s="126" t="s">
        <v>637</v>
      </c>
      <c r="F8" s="127"/>
      <c r="G8" s="128">
        <f>F8*D8</f>
        <v>0</v>
      </c>
    </row>
    <row r="9" spans="1:7" x14ac:dyDescent="0.25">
      <c r="A9" s="122"/>
      <c r="B9" s="123"/>
      <c r="C9" s="124"/>
      <c r="D9" s="125"/>
      <c r="E9" s="126"/>
      <c r="F9" s="127"/>
      <c r="G9" s="128">
        <f t="shared" ref="G9:G29" si="0">F9*D9</f>
        <v>0</v>
      </c>
    </row>
    <row r="10" spans="1:7" x14ac:dyDescent="0.25">
      <c r="A10" s="122"/>
      <c r="B10" s="129" t="s">
        <v>1455</v>
      </c>
      <c r="C10" s="124"/>
      <c r="D10" s="125"/>
      <c r="E10" s="130"/>
      <c r="F10" s="127"/>
      <c r="G10" s="128">
        <f t="shared" si="0"/>
        <v>0</v>
      </c>
    </row>
    <row r="11" spans="1:7" x14ac:dyDescent="0.25">
      <c r="A11" s="122"/>
      <c r="B11" s="131" t="s">
        <v>1456</v>
      </c>
      <c r="C11" s="124"/>
      <c r="D11" s="125"/>
      <c r="E11" s="126"/>
      <c r="F11" s="127"/>
      <c r="G11" s="128">
        <f t="shared" si="0"/>
        <v>0</v>
      </c>
    </row>
    <row r="12" spans="1:7" x14ac:dyDescent="0.25">
      <c r="A12" s="122" t="str">
        <f>[1]D.skupina!A31</f>
        <v>733163104V</v>
      </c>
      <c r="B12" s="123" t="s">
        <v>1457</v>
      </c>
      <c r="C12" s="124"/>
      <c r="D12" s="125">
        <v>20</v>
      </c>
      <c r="E12" s="126" t="s">
        <v>313</v>
      </c>
      <c r="F12" s="127"/>
      <c r="G12" s="128">
        <f t="shared" si="0"/>
        <v>0</v>
      </c>
    </row>
    <row r="13" spans="1:7" x14ac:dyDescent="0.25">
      <c r="A13" s="122"/>
      <c r="B13" s="123"/>
      <c r="C13" s="124"/>
      <c r="D13" s="125"/>
      <c r="E13" s="126"/>
      <c r="F13" s="127"/>
      <c r="G13" s="128">
        <f t="shared" si="0"/>
        <v>0</v>
      </c>
    </row>
    <row r="14" spans="1:7" x14ac:dyDescent="0.25">
      <c r="A14" s="122"/>
      <c r="B14" s="132" t="s">
        <v>1458</v>
      </c>
      <c r="C14" s="124"/>
      <c r="D14" s="125"/>
      <c r="E14" s="126"/>
      <c r="F14" s="127"/>
      <c r="G14" s="128">
        <f t="shared" si="0"/>
        <v>0</v>
      </c>
    </row>
    <row r="15" spans="1:7" x14ac:dyDescent="0.25">
      <c r="A15" s="122"/>
      <c r="B15" s="131" t="s">
        <v>1459</v>
      </c>
      <c r="C15" s="124"/>
      <c r="D15" s="125"/>
      <c r="E15" s="126"/>
      <c r="F15" s="127"/>
      <c r="G15" s="128">
        <f t="shared" si="0"/>
        <v>0</v>
      </c>
    </row>
    <row r="16" spans="1:7" x14ac:dyDescent="0.25">
      <c r="A16" s="122" t="str">
        <f>[1]D.skupina!A38</f>
        <v>722181214V</v>
      </c>
      <c r="B16" s="133" t="s">
        <v>1460</v>
      </c>
      <c r="C16" s="124"/>
      <c r="D16" s="125">
        <v>22</v>
      </c>
      <c r="E16" s="126" t="s">
        <v>313</v>
      </c>
      <c r="F16" s="127"/>
      <c r="G16" s="128">
        <f t="shared" si="0"/>
        <v>0</v>
      </c>
    </row>
    <row r="17" spans="1:7" x14ac:dyDescent="0.25">
      <c r="A17" s="122"/>
      <c r="B17" s="123"/>
      <c r="C17" s="124"/>
      <c r="D17" s="125"/>
      <c r="E17" s="126"/>
      <c r="F17" s="127"/>
      <c r="G17" s="128">
        <f t="shared" si="0"/>
        <v>0</v>
      </c>
    </row>
    <row r="18" spans="1:7" x14ac:dyDescent="0.25">
      <c r="A18" s="122"/>
      <c r="B18" s="132" t="s">
        <v>1461</v>
      </c>
      <c r="C18" s="124"/>
      <c r="D18" s="125"/>
      <c r="E18" s="126"/>
      <c r="F18" s="127"/>
      <c r="G18" s="128">
        <f t="shared" si="0"/>
        <v>0</v>
      </c>
    </row>
    <row r="19" spans="1:7" x14ac:dyDescent="0.25">
      <c r="A19" s="122" t="str">
        <f>[1]D.skupina!A42</f>
        <v>735003V</v>
      </c>
      <c r="B19" s="131" t="s">
        <v>1462</v>
      </c>
      <c r="C19" s="124"/>
      <c r="D19" s="125"/>
      <c r="E19" s="126"/>
      <c r="F19" s="127"/>
      <c r="G19" s="128">
        <f t="shared" si="0"/>
        <v>0</v>
      </c>
    </row>
    <row r="20" spans="1:7" x14ac:dyDescent="0.25">
      <c r="A20" s="122" t="str">
        <f>[1]D.skupina!A43</f>
        <v>13211V</v>
      </c>
      <c r="B20" s="131" t="s">
        <v>1463</v>
      </c>
      <c r="C20" s="124"/>
      <c r="D20" s="125">
        <v>5</v>
      </c>
      <c r="E20" s="126" t="s">
        <v>313</v>
      </c>
      <c r="F20" s="127"/>
      <c r="G20" s="128">
        <f t="shared" si="0"/>
        <v>0</v>
      </c>
    </row>
    <row r="21" spans="1:7" x14ac:dyDescent="0.25">
      <c r="A21" s="122" t="str">
        <f>[1]D.skupina!A44</f>
        <v>733001V</v>
      </c>
      <c r="B21" s="131" t="s">
        <v>1464</v>
      </c>
      <c r="C21" s="124"/>
      <c r="D21" s="125">
        <v>10</v>
      </c>
      <c r="E21" s="126" t="s">
        <v>1465</v>
      </c>
      <c r="F21" s="127"/>
      <c r="G21" s="128">
        <f t="shared" si="0"/>
        <v>0</v>
      </c>
    </row>
    <row r="22" spans="1:7" x14ac:dyDescent="0.25">
      <c r="A22" s="122"/>
      <c r="B22" s="131"/>
      <c r="C22" s="124"/>
      <c r="D22" s="125"/>
      <c r="E22" s="126"/>
      <c r="F22" s="127"/>
      <c r="G22" s="128">
        <f t="shared" si="0"/>
        <v>0</v>
      </c>
    </row>
    <row r="23" spans="1:7" x14ac:dyDescent="0.25">
      <c r="A23" s="122"/>
      <c r="B23" s="132" t="s">
        <v>1466</v>
      </c>
      <c r="C23" s="124"/>
      <c r="D23" s="125"/>
      <c r="E23" s="126"/>
      <c r="F23" s="127"/>
      <c r="G23" s="128">
        <f t="shared" si="0"/>
        <v>0</v>
      </c>
    </row>
    <row r="24" spans="1:7" x14ac:dyDescent="0.25">
      <c r="A24" s="122" t="str">
        <f>[1]D.skupina!A47</f>
        <v>731001V</v>
      </c>
      <c r="B24" s="131" t="s">
        <v>1467</v>
      </c>
      <c r="C24" s="124"/>
      <c r="D24" s="125">
        <v>1</v>
      </c>
      <c r="E24" s="126" t="s">
        <v>644</v>
      </c>
      <c r="F24" s="127"/>
      <c r="G24" s="128">
        <f t="shared" si="0"/>
        <v>0</v>
      </c>
    </row>
    <row r="25" spans="1:7" x14ac:dyDescent="0.25">
      <c r="A25" s="122" t="str">
        <f>[1]D.skupina!A48</f>
        <v>73319021V</v>
      </c>
      <c r="B25" s="131" t="s">
        <v>1468</v>
      </c>
      <c r="C25" s="124"/>
      <c r="D25" s="125">
        <v>80</v>
      </c>
      <c r="E25" s="126" t="s">
        <v>313</v>
      </c>
      <c r="F25" s="127"/>
      <c r="G25" s="128">
        <f t="shared" si="0"/>
        <v>0</v>
      </c>
    </row>
    <row r="26" spans="1:7" x14ac:dyDescent="0.25">
      <c r="A26" s="122" t="str">
        <f>[1]D.skupina!A49</f>
        <v>22261913V</v>
      </c>
      <c r="B26" s="131" t="s">
        <v>1469</v>
      </c>
      <c r="C26" s="124"/>
      <c r="D26" s="125">
        <v>24</v>
      </c>
      <c r="E26" s="126" t="s">
        <v>1470</v>
      </c>
      <c r="F26" s="127"/>
      <c r="G26" s="128">
        <f t="shared" si="0"/>
        <v>0</v>
      </c>
    </row>
    <row r="27" spans="1:7" x14ac:dyDescent="0.25">
      <c r="A27" s="122" t="str">
        <f>[1]D.skupina!A51</f>
        <v>731003V</v>
      </c>
      <c r="B27" s="131" t="s">
        <v>1471</v>
      </c>
      <c r="C27" s="124"/>
      <c r="D27" s="125">
        <v>4</v>
      </c>
      <c r="E27" s="126" t="s">
        <v>1470</v>
      </c>
      <c r="F27" s="127"/>
      <c r="G27" s="128">
        <f t="shared" si="0"/>
        <v>0</v>
      </c>
    </row>
    <row r="28" spans="1:7" x14ac:dyDescent="0.25">
      <c r="A28" s="122" t="s">
        <v>1472</v>
      </c>
      <c r="B28" s="131" t="s">
        <v>1473</v>
      </c>
      <c r="C28" s="124"/>
      <c r="D28" s="125">
        <v>1</v>
      </c>
      <c r="E28" s="126" t="s">
        <v>1474</v>
      </c>
      <c r="F28" s="127"/>
      <c r="G28" s="128">
        <f t="shared" si="0"/>
        <v>0</v>
      </c>
    </row>
    <row r="29" spans="1:7" x14ac:dyDescent="0.25">
      <c r="A29" s="122" t="s">
        <v>1475</v>
      </c>
      <c r="B29" s="131" t="s">
        <v>1476</v>
      </c>
      <c r="C29" s="124"/>
      <c r="D29" s="134">
        <v>1.3</v>
      </c>
      <c r="E29" s="126" t="s">
        <v>63</v>
      </c>
      <c r="F29" s="127"/>
      <c r="G29" s="128">
        <f t="shared" si="0"/>
        <v>0</v>
      </c>
    </row>
    <row r="30" spans="1:7" x14ac:dyDescent="0.25">
      <c r="A30" s="122"/>
      <c r="B30" s="123"/>
      <c r="C30" s="124"/>
      <c r="D30" s="125"/>
      <c r="E30" s="126"/>
      <c r="F30" s="135"/>
      <c r="G30" s="128"/>
    </row>
    <row r="31" spans="1:7" x14ac:dyDescent="0.25">
      <c r="A31" s="122"/>
      <c r="B31" s="131"/>
      <c r="C31" s="124"/>
      <c r="D31" s="125"/>
      <c r="E31" s="126"/>
      <c r="F31" s="135"/>
      <c r="G31" s="128"/>
    </row>
    <row r="32" spans="1:7" ht="16.5" thickBot="1" x14ac:dyDescent="0.3">
      <c r="A32" s="136"/>
      <c r="B32" s="137" t="s">
        <v>1477</v>
      </c>
      <c r="C32" s="138"/>
      <c r="D32" s="139"/>
      <c r="E32" s="140"/>
      <c r="F32" s="141"/>
      <c r="G32" s="142">
        <f>SUM(G7:G31)</f>
        <v>0</v>
      </c>
    </row>
  </sheetData>
  <mergeCells count="3">
    <mergeCell ref="D1:E2"/>
    <mergeCell ref="F1:G2"/>
    <mergeCell ref="B5:G5"/>
  </mergeCells>
  <pageMargins left="0.7" right="0.7" top="0.78740157499999996" bottom="0.78740157499999996" header="0.3" footer="0.3"/>
  <pageSetup paperSize="9" scale="8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7FC0-1103-4183-91D6-B53370FE6426}">
  <dimension ref="A1:G52"/>
  <sheetViews>
    <sheetView view="pageBreakPreview" topLeftCell="A21" zoomScale="145" zoomScaleNormal="145" zoomScaleSheetLayoutView="145" workbookViewId="0">
      <selection activeCell="F8" sqref="F8:F29"/>
    </sheetView>
  </sheetViews>
  <sheetFormatPr defaultColWidth="8.85546875" defaultRowHeight="15" x14ac:dyDescent="0.25"/>
  <cols>
    <col min="1" max="1" width="13.42578125" style="92" customWidth="1"/>
    <col min="2" max="2" width="55.42578125" style="92" customWidth="1"/>
    <col min="3" max="3" width="0" style="92" hidden="1" customWidth="1"/>
    <col min="4" max="4" width="8.5703125" style="92" customWidth="1"/>
    <col min="5" max="5" width="8.7109375" style="92" customWidth="1"/>
    <col min="6" max="6" width="10.42578125" style="92" customWidth="1"/>
    <col min="7" max="7" width="12.7109375" style="92" customWidth="1"/>
    <col min="8" max="16384" width="8.85546875" style="92"/>
  </cols>
  <sheetData>
    <row r="1" spans="1:7" ht="15" customHeight="1" x14ac:dyDescent="0.25">
      <c r="A1" s="89"/>
      <c r="B1" s="90" t="s">
        <v>1443</v>
      </c>
      <c r="C1" s="91"/>
      <c r="D1" s="365"/>
      <c r="E1" s="366"/>
      <c r="F1" s="369" t="s">
        <v>1444</v>
      </c>
      <c r="G1" s="370"/>
    </row>
    <row r="2" spans="1:7" ht="15" customHeight="1" x14ac:dyDescent="0.25">
      <c r="A2" s="93"/>
      <c r="B2" s="94" t="s">
        <v>1445</v>
      </c>
      <c r="C2" s="95"/>
      <c r="D2" s="367"/>
      <c r="E2" s="368"/>
      <c r="F2" s="371"/>
      <c r="G2" s="372"/>
    </row>
    <row r="3" spans="1:7" ht="17.25" customHeight="1" x14ac:dyDescent="0.25">
      <c r="A3" s="93"/>
      <c r="B3" s="94" t="s">
        <v>1446</v>
      </c>
      <c r="C3" s="95"/>
      <c r="D3" s="97"/>
      <c r="E3" s="96"/>
      <c r="F3" s="98"/>
      <c r="G3" s="99"/>
    </row>
    <row r="4" spans="1:7" ht="15.75" x14ac:dyDescent="0.25">
      <c r="A4" s="100" t="s">
        <v>1447</v>
      </c>
      <c r="B4" s="101"/>
      <c r="C4" s="102"/>
      <c r="D4" s="103"/>
      <c r="E4" s="104"/>
      <c r="F4" s="105"/>
      <c r="G4" s="106"/>
    </row>
    <row r="5" spans="1:7" ht="18" x14ac:dyDescent="0.25">
      <c r="A5" s="107"/>
      <c r="B5" s="373" t="s">
        <v>140</v>
      </c>
      <c r="C5" s="373"/>
      <c r="D5" s="373"/>
      <c r="E5" s="373"/>
      <c r="F5" s="373"/>
      <c r="G5" s="374"/>
    </row>
    <row r="6" spans="1:7" x14ac:dyDescent="0.25">
      <c r="A6" s="108" t="s">
        <v>83</v>
      </c>
      <c r="B6" s="109" t="s">
        <v>1448</v>
      </c>
      <c r="C6" s="109" t="s">
        <v>1449</v>
      </c>
      <c r="D6" s="110" t="s">
        <v>192</v>
      </c>
      <c r="E6" s="111" t="s">
        <v>1450</v>
      </c>
      <c r="F6" s="112" t="s">
        <v>1451</v>
      </c>
      <c r="G6" s="113" t="s">
        <v>1452</v>
      </c>
    </row>
    <row r="7" spans="1:7" s="121" customFormat="1" x14ac:dyDescent="0.25">
      <c r="A7" s="114"/>
      <c r="B7" s="115" t="s">
        <v>1478</v>
      </c>
      <c r="C7" s="116"/>
      <c r="D7" s="117"/>
      <c r="E7" s="118"/>
      <c r="F7" s="119"/>
      <c r="G7" s="120"/>
    </row>
    <row r="8" spans="1:7" x14ac:dyDescent="0.25">
      <c r="A8" s="122"/>
      <c r="B8" s="123"/>
      <c r="C8" s="124"/>
      <c r="D8" s="125"/>
      <c r="E8" s="126"/>
      <c r="F8" s="135"/>
      <c r="G8" s="128"/>
    </row>
    <row r="9" spans="1:7" x14ac:dyDescent="0.25">
      <c r="A9" s="122"/>
      <c r="B9" s="143" t="s">
        <v>1479</v>
      </c>
      <c r="C9" s="124"/>
      <c r="D9" s="125"/>
      <c r="E9" s="126"/>
      <c r="F9" s="135"/>
      <c r="G9" s="128"/>
    </row>
    <row r="10" spans="1:7" x14ac:dyDescent="0.25">
      <c r="A10" s="122"/>
      <c r="B10" s="144" t="s">
        <v>1480</v>
      </c>
      <c r="C10" s="124"/>
      <c r="D10" s="125"/>
      <c r="E10" s="126"/>
      <c r="F10" s="135"/>
      <c r="G10" s="128"/>
    </row>
    <row r="11" spans="1:7" x14ac:dyDescent="0.25">
      <c r="A11" s="122" t="s">
        <v>1481</v>
      </c>
      <c r="B11" s="144" t="s">
        <v>1482</v>
      </c>
      <c r="C11" s="124"/>
      <c r="D11" s="125">
        <v>2</v>
      </c>
      <c r="E11" s="126" t="s">
        <v>1465</v>
      </c>
      <c r="F11" s="127"/>
      <c r="G11" s="128">
        <f>F11*D11</f>
        <v>0</v>
      </c>
    </row>
    <row r="12" spans="1:7" x14ac:dyDescent="0.25">
      <c r="A12" s="122" t="s">
        <v>1483</v>
      </c>
      <c r="B12" s="144" t="s">
        <v>1484</v>
      </c>
      <c r="C12" s="124"/>
      <c r="D12" s="125">
        <v>1</v>
      </c>
      <c r="E12" s="126" t="s">
        <v>1465</v>
      </c>
      <c r="F12" s="127"/>
      <c r="G12" s="128">
        <f t="shared" ref="G12:G49" si="0">F12*D12</f>
        <v>0</v>
      </c>
    </row>
    <row r="13" spans="1:7" x14ac:dyDescent="0.25">
      <c r="A13" s="122" t="str">
        <f>[1]D.skupina!A18</f>
        <v>735151869V</v>
      </c>
      <c r="B13" s="144" t="s">
        <v>1485</v>
      </c>
      <c r="C13" s="124"/>
      <c r="D13" s="125">
        <v>1</v>
      </c>
      <c r="E13" s="126" t="s">
        <v>1465</v>
      </c>
      <c r="F13" s="127"/>
      <c r="G13" s="128">
        <f t="shared" si="0"/>
        <v>0</v>
      </c>
    </row>
    <row r="14" spans="1:7" x14ac:dyDescent="0.25">
      <c r="A14" s="122"/>
      <c r="B14" s="144"/>
      <c r="C14" s="124"/>
      <c r="D14" s="125"/>
      <c r="E14" s="126"/>
      <c r="F14" s="127"/>
      <c r="G14" s="128">
        <f t="shared" si="0"/>
        <v>0</v>
      </c>
    </row>
    <row r="15" spans="1:7" x14ac:dyDescent="0.25">
      <c r="A15" s="122" t="s">
        <v>1486</v>
      </c>
      <c r="B15" s="144" t="s">
        <v>1487</v>
      </c>
      <c r="C15" s="124"/>
      <c r="D15" s="125">
        <v>1</v>
      </c>
      <c r="E15" s="126" t="s">
        <v>1465</v>
      </c>
      <c r="F15" s="127"/>
      <c r="G15" s="128">
        <f t="shared" si="0"/>
        <v>0</v>
      </c>
    </row>
    <row r="16" spans="1:7" x14ac:dyDescent="0.25">
      <c r="A16" s="122" t="s">
        <v>1488</v>
      </c>
      <c r="B16" s="123" t="s">
        <v>1489</v>
      </c>
      <c r="C16" s="124"/>
      <c r="D16" s="125">
        <v>1</v>
      </c>
      <c r="E16" s="126" t="s">
        <v>1465</v>
      </c>
      <c r="F16" s="127"/>
      <c r="G16" s="128">
        <f t="shared" si="0"/>
        <v>0</v>
      </c>
    </row>
    <row r="17" spans="1:7" x14ac:dyDescent="0.25">
      <c r="A17" s="122"/>
      <c r="B17" s="123"/>
      <c r="C17" s="124"/>
      <c r="D17" s="125"/>
      <c r="E17" s="126"/>
      <c r="F17" s="127"/>
      <c r="G17" s="128">
        <f t="shared" si="0"/>
        <v>0</v>
      </c>
    </row>
    <row r="18" spans="1:7" x14ac:dyDescent="0.25">
      <c r="A18" s="122"/>
      <c r="B18" s="132" t="s">
        <v>1490</v>
      </c>
      <c r="C18" s="124"/>
      <c r="D18" s="125"/>
      <c r="E18" s="126"/>
      <c r="F18" s="127"/>
      <c r="G18" s="128">
        <f t="shared" si="0"/>
        <v>0</v>
      </c>
    </row>
    <row r="19" spans="1:7" x14ac:dyDescent="0.25">
      <c r="A19" s="122" t="str">
        <f>[1]D.skupina!A22</f>
        <v>73811954V</v>
      </c>
      <c r="B19" s="133" t="s">
        <v>1491</v>
      </c>
      <c r="C19" s="124"/>
      <c r="D19" s="125">
        <v>4</v>
      </c>
      <c r="E19" s="126" t="s">
        <v>1465</v>
      </c>
      <c r="F19" s="127"/>
      <c r="G19" s="128">
        <f t="shared" si="0"/>
        <v>0</v>
      </c>
    </row>
    <row r="20" spans="1:7" x14ac:dyDescent="0.25">
      <c r="A20" s="122" t="str">
        <f>[1]D.skupina!A23</f>
        <v>735002V</v>
      </c>
      <c r="B20" s="133" t="s">
        <v>1492</v>
      </c>
      <c r="C20" s="124"/>
      <c r="D20" s="125">
        <v>4</v>
      </c>
      <c r="E20" s="126" t="s">
        <v>1465</v>
      </c>
      <c r="F20" s="127"/>
      <c r="G20" s="128">
        <f t="shared" si="0"/>
        <v>0</v>
      </c>
    </row>
    <row r="21" spans="1:7" x14ac:dyDescent="0.25">
      <c r="A21" s="122" t="s">
        <v>1493</v>
      </c>
      <c r="B21" s="123" t="s">
        <v>1494</v>
      </c>
      <c r="C21" s="124"/>
      <c r="D21" s="125">
        <v>1</v>
      </c>
      <c r="E21" s="126" t="s">
        <v>1465</v>
      </c>
      <c r="F21" s="127"/>
      <c r="G21" s="128">
        <f t="shared" si="0"/>
        <v>0</v>
      </c>
    </row>
    <row r="22" spans="1:7" x14ac:dyDescent="0.25">
      <c r="A22" s="122"/>
      <c r="B22" s="123"/>
      <c r="C22" s="124"/>
      <c r="D22" s="125"/>
      <c r="E22" s="126"/>
      <c r="F22" s="127"/>
      <c r="G22" s="128">
        <f t="shared" si="0"/>
        <v>0</v>
      </c>
    </row>
    <row r="23" spans="1:7" x14ac:dyDescent="0.25">
      <c r="A23" s="122"/>
      <c r="B23" s="129" t="s">
        <v>1455</v>
      </c>
      <c r="C23" s="124"/>
      <c r="D23" s="125"/>
      <c r="E23" s="130"/>
      <c r="F23" s="127"/>
      <c r="G23" s="128">
        <f t="shared" si="0"/>
        <v>0</v>
      </c>
    </row>
    <row r="24" spans="1:7" x14ac:dyDescent="0.25">
      <c r="A24" s="122"/>
      <c r="B24" s="131" t="s">
        <v>1456</v>
      </c>
      <c r="C24" s="124"/>
      <c r="D24" s="125"/>
      <c r="E24" s="126"/>
      <c r="F24" s="127"/>
      <c r="G24" s="128">
        <f t="shared" si="0"/>
        <v>0</v>
      </c>
    </row>
    <row r="25" spans="1:7" x14ac:dyDescent="0.25">
      <c r="A25" s="122" t="str">
        <f>[1]D.skupina!A29</f>
        <v>733163102V</v>
      </c>
      <c r="B25" s="131" t="s">
        <v>1495</v>
      </c>
      <c r="C25" s="124"/>
      <c r="D25" s="125">
        <v>10</v>
      </c>
      <c r="E25" s="126" t="s">
        <v>313</v>
      </c>
      <c r="F25" s="127"/>
      <c r="G25" s="128">
        <f t="shared" si="0"/>
        <v>0</v>
      </c>
    </row>
    <row r="26" spans="1:7" x14ac:dyDescent="0.25">
      <c r="A26" s="122" t="str">
        <f>[1]D.skupina!A30</f>
        <v>733163103V</v>
      </c>
      <c r="B26" s="131" t="s">
        <v>1496</v>
      </c>
      <c r="C26" s="124"/>
      <c r="D26" s="125">
        <v>10</v>
      </c>
      <c r="E26" s="126" t="s">
        <v>313</v>
      </c>
      <c r="F26" s="127"/>
      <c r="G26" s="128">
        <f t="shared" si="0"/>
        <v>0</v>
      </c>
    </row>
    <row r="27" spans="1:7" x14ac:dyDescent="0.25">
      <c r="A27" s="122" t="str">
        <f>[1]D.skupina!A31</f>
        <v>733163104V</v>
      </c>
      <c r="B27" s="123" t="s">
        <v>1457</v>
      </c>
      <c r="C27" s="124"/>
      <c r="D27" s="125">
        <v>13</v>
      </c>
      <c r="E27" s="126" t="s">
        <v>313</v>
      </c>
      <c r="F27" s="127"/>
      <c r="G27" s="128">
        <f t="shared" si="0"/>
        <v>0</v>
      </c>
    </row>
    <row r="28" spans="1:7" x14ac:dyDescent="0.25">
      <c r="A28" s="122" t="str">
        <f>[1]D.skupina!A32</f>
        <v>733163105V</v>
      </c>
      <c r="B28" s="123" t="s">
        <v>1497</v>
      </c>
      <c r="C28" s="124"/>
      <c r="D28" s="125">
        <v>35</v>
      </c>
      <c r="E28" s="126" t="s">
        <v>313</v>
      </c>
      <c r="F28" s="127"/>
      <c r="G28" s="128">
        <f t="shared" si="0"/>
        <v>0</v>
      </c>
    </row>
    <row r="29" spans="1:7" x14ac:dyDescent="0.25">
      <c r="A29" s="122"/>
      <c r="B29" s="123"/>
      <c r="C29" s="124"/>
      <c r="D29" s="125"/>
      <c r="E29" s="126"/>
      <c r="F29" s="127"/>
      <c r="G29" s="128">
        <f t="shared" si="0"/>
        <v>0</v>
      </c>
    </row>
    <row r="30" spans="1:7" x14ac:dyDescent="0.25">
      <c r="A30" s="122"/>
      <c r="B30" s="132" t="s">
        <v>1458</v>
      </c>
      <c r="C30" s="124"/>
      <c r="D30" s="125"/>
      <c r="E30" s="126"/>
      <c r="F30" s="127"/>
      <c r="G30" s="128">
        <f t="shared" si="0"/>
        <v>0</v>
      </c>
    </row>
    <row r="31" spans="1:7" x14ac:dyDescent="0.25">
      <c r="A31" s="122"/>
      <c r="B31" s="131" t="s">
        <v>1459</v>
      </c>
      <c r="C31" s="124"/>
      <c r="D31" s="125"/>
      <c r="E31" s="126"/>
      <c r="F31" s="127"/>
      <c r="G31" s="128">
        <f t="shared" si="0"/>
        <v>0</v>
      </c>
    </row>
    <row r="32" spans="1:7" x14ac:dyDescent="0.25">
      <c r="A32" s="122" t="str">
        <f>[1]D.skupina!A36</f>
        <v>722181211V</v>
      </c>
      <c r="B32" s="133" t="s">
        <v>1498</v>
      </c>
      <c r="C32" s="124"/>
      <c r="D32" s="125">
        <v>11</v>
      </c>
      <c r="E32" s="126" t="s">
        <v>313</v>
      </c>
      <c r="F32" s="127"/>
      <c r="G32" s="128">
        <f t="shared" si="0"/>
        <v>0</v>
      </c>
    </row>
    <row r="33" spans="1:7" x14ac:dyDescent="0.25">
      <c r="A33" s="122" t="str">
        <f>[1]D.skupina!A37</f>
        <v>722181211V</v>
      </c>
      <c r="B33" s="133" t="s">
        <v>1499</v>
      </c>
      <c r="C33" s="124"/>
      <c r="D33" s="125">
        <v>11</v>
      </c>
      <c r="E33" s="126" t="s">
        <v>313</v>
      </c>
      <c r="F33" s="127"/>
      <c r="G33" s="128">
        <f t="shared" si="0"/>
        <v>0</v>
      </c>
    </row>
    <row r="34" spans="1:7" x14ac:dyDescent="0.25">
      <c r="A34" s="122" t="str">
        <f>[1]D.skupina!A38</f>
        <v>722181214V</v>
      </c>
      <c r="B34" s="133" t="s">
        <v>1460</v>
      </c>
      <c r="C34" s="124"/>
      <c r="D34" s="125">
        <v>15</v>
      </c>
      <c r="E34" s="126" t="s">
        <v>313</v>
      </c>
      <c r="F34" s="127"/>
      <c r="G34" s="128">
        <f t="shared" si="0"/>
        <v>0</v>
      </c>
    </row>
    <row r="35" spans="1:7" x14ac:dyDescent="0.25">
      <c r="A35" s="122" t="str">
        <f>[1]D.skupina!A39</f>
        <v>722181214V</v>
      </c>
      <c r="B35" s="123" t="s">
        <v>1500</v>
      </c>
      <c r="C35" s="124"/>
      <c r="D35" s="125">
        <v>40</v>
      </c>
      <c r="E35" s="126" t="s">
        <v>313</v>
      </c>
      <c r="F35" s="127"/>
      <c r="G35" s="128">
        <f t="shared" si="0"/>
        <v>0</v>
      </c>
    </row>
    <row r="36" spans="1:7" x14ac:dyDescent="0.25">
      <c r="A36" s="122"/>
      <c r="B36" s="123"/>
      <c r="C36" s="124"/>
      <c r="D36" s="125"/>
      <c r="E36" s="126"/>
      <c r="F36" s="127"/>
      <c r="G36" s="128">
        <f t="shared" si="0"/>
        <v>0</v>
      </c>
    </row>
    <row r="37" spans="1:7" x14ac:dyDescent="0.25">
      <c r="A37" s="122"/>
      <c r="B37" s="132" t="s">
        <v>1461</v>
      </c>
      <c r="C37" s="124"/>
      <c r="D37" s="125"/>
      <c r="E37" s="126"/>
      <c r="F37" s="127"/>
      <c r="G37" s="128">
        <f t="shared" si="0"/>
        <v>0</v>
      </c>
    </row>
    <row r="38" spans="1:7" x14ac:dyDescent="0.25">
      <c r="A38" s="122" t="str">
        <f>[1]D.skupina!A42</f>
        <v>735003V</v>
      </c>
      <c r="B38" s="131" t="s">
        <v>1462</v>
      </c>
      <c r="C38" s="124"/>
      <c r="D38" s="125"/>
      <c r="E38" s="126"/>
      <c r="F38" s="127"/>
      <c r="G38" s="128">
        <f t="shared" si="0"/>
        <v>0</v>
      </c>
    </row>
    <row r="39" spans="1:7" x14ac:dyDescent="0.25">
      <c r="A39" s="122" t="str">
        <f>[1]D.skupina!A43</f>
        <v>13211V</v>
      </c>
      <c r="B39" s="131" t="s">
        <v>1463</v>
      </c>
      <c r="C39" s="124"/>
      <c r="D39" s="125">
        <v>10</v>
      </c>
      <c r="E39" s="126" t="s">
        <v>313</v>
      </c>
      <c r="F39" s="127"/>
      <c r="G39" s="128">
        <f t="shared" si="0"/>
        <v>0</v>
      </c>
    </row>
    <row r="40" spans="1:7" x14ac:dyDescent="0.25">
      <c r="A40" s="122" t="str">
        <f>[1]D.skupina!A44</f>
        <v>733001V</v>
      </c>
      <c r="B40" s="131" t="s">
        <v>1464</v>
      </c>
      <c r="C40" s="124"/>
      <c r="D40" s="125">
        <v>30</v>
      </c>
      <c r="E40" s="126" t="s">
        <v>1465</v>
      </c>
      <c r="F40" s="127"/>
      <c r="G40" s="128">
        <f t="shared" si="0"/>
        <v>0</v>
      </c>
    </row>
    <row r="41" spans="1:7" x14ac:dyDescent="0.25">
      <c r="A41" s="122"/>
      <c r="B41" s="131"/>
      <c r="C41" s="124"/>
      <c r="D41" s="125"/>
      <c r="E41" s="126"/>
      <c r="F41" s="127"/>
      <c r="G41" s="128">
        <f t="shared" si="0"/>
        <v>0</v>
      </c>
    </row>
    <row r="42" spans="1:7" x14ac:dyDescent="0.25">
      <c r="A42" s="122"/>
      <c r="B42" s="132" t="s">
        <v>1466</v>
      </c>
      <c r="C42" s="124"/>
      <c r="D42" s="125"/>
      <c r="E42" s="126"/>
      <c r="F42" s="127"/>
      <c r="G42" s="128">
        <f t="shared" si="0"/>
        <v>0</v>
      </c>
    </row>
    <row r="43" spans="1:7" x14ac:dyDescent="0.25">
      <c r="A43" s="122" t="s">
        <v>1501</v>
      </c>
      <c r="B43" s="131" t="s">
        <v>1467</v>
      </c>
      <c r="C43" s="124"/>
      <c r="D43" s="125">
        <v>1</v>
      </c>
      <c r="E43" s="126" t="s">
        <v>644</v>
      </c>
      <c r="F43" s="127"/>
      <c r="G43" s="128">
        <f t="shared" si="0"/>
        <v>0</v>
      </c>
    </row>
    <row r="44" spans="1:7" x14ac:dyDescent="0.25">
      <c r="A44" s="122" t="s">
        <v>1502</v>
      </c>
      <c r="B44" s="131" t="s">
        <v>1468</v>
      </c>
      <c r="C44" s="124"/>
      <c r="D44" s="125">
        <f>SUM(D25:D28)</f>
        <v>68</v>
      </c>
      <c r="E44" s="126" t="s">
        <v>313</v>
      </c>
      <c r="F44" s="127"/>
      <c r="G44" s="128">
        <f t="shared" si="0"/>
        <v>0</v>
      </c>
    </row>
    <row r="45" spans="1:7" x14ac:dyDescent="0.25">
      <c r="A45" s="122" t="s">
        <v>1503</v>
      </c>
      <c r="B45" s="131" t="s">
        <v>1469</v>
      </c>
      <c r="C45" s="124"/>
      <c r="D45" s="125">
        <v>24</v>
      </c>
      <c r="E45" s="126" t="s">
        <v>1470</v>
      </c>
      <c r="F45" s="127"/>
      <c r="G45" s="128">
        <f t="shared" si="0"/>
        <v>0</v>
      </c>
    </row>
    <row r="46" spans="1:7" x14ac:dyDescent="0.25">
      <c r="A46" s="122" t="s">
        <v>1504</v>
      </c>
      <c r="B46" s="131" t="s">
        <v>1505</v>
      </c>
      <c r="C46" s="124"/>
      <c r="D46" s="125">
        <v>8</v>
      </c>
      <c r="E46" s="126" t="s">
        <v>1470</v>
      </c>
      <c r="F46" s="127"/>
      <c r="G46" s="128">
        <f t="shared" si="0"/>
        <v>0</v>
      </c>
    </row>
    <row r="47" spans="1:7" x14ac:dyDescent="0.25">
      <c r="A47" s="122" t="s">
        <v>1506</v>
      </c>
      <c r="B47" s="131" t="s">
        <v>1471</v>
      </c>
      <c r="C47" s="124"/>
      <c r="D47" s="125">
        <v>8</v>
      </c>
      <c r="E47" s="126" t="s">
        <v>1470</v>
      </c>
      <c r="F47" s="127"/>
      <c r="G47" s="128">
        <f t="shared" si="0"/>
        <v>0</v>
      </c>
    </row>
    <row r="48" spans="1:7" x14ac:dyDescent="0.25">
      <c r="A48" s="122" t="s">
        <v>1472</v>
      </c>
      <c r="B48" s="131" t="s">
        <v>1473</v>
      </c>
      <c r="C48" s="124"/>
      <c r="D48" s="125">
        <v>1</v>
      </c>
      <c r="E48" s="126" t="s">
        <v>1474</v>
      </c>
      <c r="F48" s="127"/>
      <c r="G48" s="128">
        <f t="shared" si="0"/>
        <v>0</v>
      </c>
    </row>
    <row r="49" spans="1:7" x14ac:dyDescent="0.25">
      <c r="A49" s="122" t="s">
        <v>1475</v>
      </c>
      <c r="B49" s="131" t="s">
        <v>1476</v>
      </c>
      <c r="C49" s="124"/>
      <c r="D49" s="134">
        <v>1.3</v>
      </c>
      <c r="E49" s="126" t="s">
        <v>63</v>
      </c>
      <c r="F49" s="127"/>
      <c r="G49" s="128">
        <f t="shared" si="0"/>
        <v>0</v>
      </c>
    </row>
    <row r="50" spans="1:7" x14ac:dyDescent="0.25">
      <c r="A50" s="122"/>
      <c r="B50" s="123"/>
      <c r="C50" s="124"/>
      <c r="D50" s="125"/>
      <c r="E50" s="126"/>
      <c r="F50" s="135"/>
      <c r="G50" s="128"/>
    </row>
    <row r="51" spans="1:7" x14ac:dyDescent="0.25">
      <c r="A51" s="122"/>
      <c r="B51" s="131"/>
      <c r="C51" s="124"/>
      <c r="D51" s="125"/>
      <c r="E51" s="126"/>
      <c r="F51" s="135"/>
      <c r="G51" s="128"/>
    </row>
    <row r="52" spans="1:7" ht="16.5" thickBot="1" x14ac:dyDescent="0.3">
      <c r="A52" s="136"/>
      <c r="B52" s="137" t="s">
        <v>1477</v>
      </c>
      <c r="C52" s="138"/>
      <c r="D52" s="139"/>
      <c r="E52" s="140"/>
      <c r="F52" s="141"/>
      <c r="G52" s="142">
        <f>SUM(G7:G51)</f>
        <v>0</v>
      </c>
    </row>
  </sheetData>
  <mergeCells count="3">
    <mergeCell ref="D1:E2"/>
    <mergeCell ref="F1:G2"/>
    <mergeCell ref="B5:G5"/>
  </mergeCells>
  <pageMargins left="0.7" right="0.7" top="0.78740157499999996" bottom="0.78740157499999996" header="0.3" footer="0.3"/>
  <pageSetup paperSize="9" scale="8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44BB-E10C-4C12-AD7B-C27425F7C78F}">
  <dimension ref="A1:G55"/>
  <sheetViews>
    <sheetView view="pageBreakPreview" topLeftCell="A3" zoomScale="145" zoomScaleNormal="145" zoomScaleSheetLayoutView="145" workbookViewId="0">
      <selection activeCell="F8" sqref="F8:F29"/>
    </sheetView>
  </sheetViews>
  <sheetFormatPr defaultColWidth="8.85546875" defaultRowHeight="15" x14ac:dyDescent="0.25"/>
  <cols>
    <col min="1" max="1" width="12.5703125" style="92" customWidth="1"/>
    <col min="2" max="2" width="55.42578125" style="92" customWidth="1"/>
    <col min="3" max="3" width="0" style="92" hidden="1" customWidth="1"/>
    <col min="4" max="4" width="8.5703125" style="92" customWidth="1"/>
    <col min="5" max="5" width="8.7109375" style="92" customWidth="1"/>
    <col min="6" max="6" width="10.42578125" style="92" customWidth="1"/>
    <col min="7" max="7" width="11.7109375" style="92" customWidth="1"/>
    <col min="8" max="16384" width="8.85546875" style="92"/>
  </cols>
  <sheetData>
    <row r="1" spans="1:7" ht="15" customHeight="1" x14ac:dyDescent="0.25">
      <c r="A1" s="89"/>
      <c r="B1" s="90" t="s">
        <v>1443</v>
      </c>
      <c r="C1" s="91"/>
      <c r="D1" s="365"/>
      <c r="E1" s="366"/>
      <c r="F1" s="369" t="s">
        <v>1444</v>
      </c>
      <c r="G1" s="370"/>
    </row>
    <row r="2" spans="1:7" ht="15" customHeight="1" x14ac:dyDescent="0.25">
      <c r="A2" s="93"/>
      <c r="B2" s="94" t="s">
        <v>1445</v>
      </c>
      <c r="C2" s="95"/>
      <c r="D2" s="367"/>
      <c r="E2" s="368"/>
      <c r="F2" s="371"/>
      <c r="G2" s="372"/>
    </row>
    <row r="3" spans="1:7" ht="17.25" customHeight="1" x14ac:dyDescent="0.25">
      <c r="A3" s="93"/>
      <c r="B3" s="94" t="s">
        <v>1446</v>
      </c>
      <c r="C3" s="95"/>
      <c r="D3" s="97"/>
      <c r="E3" s="96"/>
      <c r="F3" s="98"/>
      <c r="G3" s="99"/>
    </row>
    <row r="4" spans="1:7" ht="15.75" x14ac:dyDescent="0.25">
      <c r="A4" s="100" t="s">
        <v>1447</v>
      </c>
      <c r="B4" s="101"/>
      <c r="C4" s="102"/>
      <c r="D4" s="103"/>
      <c r="E4" s="104"/>
      <c r="F4" s="105"/>
      <c r="G4" s="106"/>
    </row>
    <row r="5" spans="1:7" ht="18" x14ac:dyDescent="0.25">
      <c r="A5" s="107"/>
      <c r="B5" s="373" t="s">
        <v>140</v>
      </c>
      <c r="C5" s="373"/>
      <c r="D5" s="373"/>
      <c r="E5" s="373"/>
      <c r="F5" s="373"/>
      <c r="G5" s="374"/>
    </row>
    <row r="6" spans="1:7" x14ac:dyDescent="0.25">
      <c r="A6" s="108" t="s">
        <v>83</v>
      </c>
      <c r="B6" s="109" t="s">
        <v>1448</v>
      </c>
      <c r="C6" s="109" t="s">
        <v>1449</v>
      </c>
      <c r="D6" s="110" t="s">
        <v>192</v>
      </c>
      <c r="E6" s="111" t="s">
        <v>1450</v>
      </c>
      <c r="F6" s="112" t="s">
        <v>1451</v>
      </c>
      <c r="G6" s="113" t="s">
        <v>1452</v>
      </c>
    </row>
    <row r="7" spans="1:7" s="121" customFormat="1" x14ac:dyDescent="0.25">
      <c r="A7" s="114"/>
      <c r="B7" s="115" t="s">
        <v>1507</v>
      </c>
      <c r="C7" s="116"/>
      <c r="D7" s="117"/>
      <c r="E7" s="118"/>
      <c r="F7" s="119"/>
      <c r="G7" s="120"/>
    </row>
    <row r="8" spans="1:7" x14ac:dyDescent="0.25">
      <c r="A8" s="122"/>
      <c r="B8" s="123"/>
      <c r="C8" s="124"/>
      <c r="D8" s="125"/>
      <c r="E8" s="126"/>
      <c r="F8" s="135"/>
      <c r="G8" s="128"/>
    </row>
    <row r="9" spans="1:7" x14ac:dyDescent="0.25">
      <c r="A9" s="122"/>
      <c r="B9" s="143" t="s">
        <v>1479</v>
      </c>
      <c r="C9" s="124"/>
      <c r="D9" s="125"/>
      <c r="E9" s="126"/>
      <c r="F9" s="135"/>
      <c r="G9" s="128"/>
    </row>
    <row r="10" spans="1:7" x14ac:dyDescent="0.25">
      <c r="A10" s="122"/>
      <c r="B10" s="144" t="s">
        <v>1480</v>
      </c>
      <c r="C10" s="124"/>
      <c r="D10" s="125"/>
      <c r="E10" s="126"/>
      <c r="F10" s="135"/>
      <c r="G10" s="128"/>
    </row>
    <row r="11" spans="1:7" x14ac:dyDescent="0.25">
      <c r="A11" s="122" t="s">
        <v>1508</v>
      </c>
      <c r="B11" s="144" t="s">
        <v>1509</v>
      </c>
      <c r="C11" s="124"/>
      <c r="D11" s="125">
        <v>1</v>
      </c>
      <c r="E11" s="126" t="s">
        <v>1465</v>
      </c>
      <c r="F11" s="127"/>
      <c r="G11" s="128">
        <f>F11*D11</f>
        <v>0</v>
      </c>
    </row>
    <row r="12" spans="1:7" x14ac:dyDescent="0.25">
      <c r="A12" s="122" t="s">
        <v>1510</v>
      </c>
      <c r="B12" s="144" t="s">
        <v>1511</v>
      </c>
      <c r="C12" s="124"/>
      <c r="D12" s="125">
        <v>1</v>
      </c>
      <c r="E12" s="126" t="s">
        <v>1465</v>
      </c>
      <c r="F12" s="127"/>
      <c r="G12" s="128">
        <f t="shared" ref="G12:G52" si="0">F12*D12</f>
        <v>0</v>
      </c>
    </row>
    <row r="13" spans="1:7" x14ac:dyDescent="0.25">
      <c r="A13" s="122" t="s">
        <v>1512</v>
      </c>
      <c r="B13" s="144" t="s">
        <v>1513</v>
      </c>
      <c r="C13" s="124"/>
      <c r="D13" s="125">
        <v>1</v>
      </c>
      <c r="E13" s="126" t="s">
        <v>1465</v>
      </c>
      <c r="F13" s="127"/>
      <c r="G13" s="128">
        <f t="shared" si="0"/>
        <v>0</v>
      </c>
    </row>
    <row r="14" spans="1:7" x14ac:dyDescent="0.25">
      <c r="A14" s="122" t="s">
        <v>1514</v>
      </c>
      <c r="B14" s="144" t="s">
        <v>1515</v>
      </c>
      <c r="C14" s="124"/>
      <c r="D14" s="125">
        <v>1</v>
      </c>
      <c r="E14" s="126" t="s">
        <v>1465</v>
      </c>
      <c r="F14" s="127"/>
      <c r="G14" s="128">
        <f t="shared" si="0"/>
        <v>0</v>
      </c>
    </row>
    <row r="15" spans="1:7" x14ac:dyDescent="0.25">
      <c r="A15" s="122" t="s">
        <v>1516</v>
      </c>
      <c r="B15" s="144" t="s">
        <v>1517</v>
      </c>
      <c r="C15" s="124"/>
      <c r="D15" s="125">
        <v>1</v>
      </c>
      <c r="E15" s="126" t="s">
        <v>1465</v>
      </c>
      <c r="F15" s="127"/>
      <c r="G15" s="128">
        <f t="shared" si="0"/>
        <v>0</v>
      </c>
    </row>
    <row r="16" spans="1:7" x14ac:dyDescent="0.25">
      <c r="A16" s="122" t="s">
        <v>1518</v>
      </c>
      <c r="B16" s="144" t="s">
        <v>1485</v>
      </c>
      <c r="C16" s="124"/>
      <c r="D16" s="125">
        <v>1</v>
      </c>
      <c r="E16" s="126" t="s">
        <v>1465</v>
      </c>
      <c r="F16" s="127"/>
      <c r="G16" s="128">
        <f t="shared" si="0"/>
        <v>0</v>
      </c>
    </row>
    <row r="17" spans="1:7" x14ac:dyDescent="0.25">
      <c r="A17" s="122"/>
      <c r="B17" s="144"/>
      <c r="C17" s="124"/>
      <c r="D17" s="125"/>
      <c r="E17" s="126"/>
      <c r="F17" s="127"/>
      <c r="G17" s="128">
        <f t="shared" si="0"/>
        <v>0</v>
      </c>
    </row>
    <row r="18" spans="1:7" x14ac:dyDescent="0.25">
      <c r="A18" s="122" t="str">
        <f>'Kancelář 1'!A15</f>
        <v>735010V</v>
      </c>
      <c r="B18" s="144" t="s">
        <v>1487</v>
      </c>
      <c r="C18" s="124"/>
      <c r="D18" s="125">
        <v>1</v>
      </c>
      <c r="E18" s="126" t="s">
        <v>1465</v>
      </c>
      <c r="F18" s="127"/>
      <c r="G18" s="128">
        <f t="shared" si="0"/>
        <v>0</v>
      </c>
    </row>
    <row r="19" spans="1:7" x14ac:dyDescent="0.25">
      <c r="A19" s="122" t="str">
        <f>'Kancelář 1'!A16</f>
        <v>735011V</v>
      </c>
      <c r="B19" s="123" t="s">
        <v>1489</v>
      </c>
      <c r="C19" s="124"/>
      <c r="D19" s="125">
        <v>1</v>
      </c>
      <c r="E19" s="126" t="s">
        <v>1465</v>
      </c>
      <c r="F19" s="127"/>
      <c r="G19" s="128">
        <f t="shared" si="0"/>
        <v>0</v>
      </c>
    </row>
    <row r="20" spans="1:7" x14ac:dyDescent="0.25">
      <c r="A20" s="122"/>
      <c r="B20" s="123"/>
      <c r="C20" s="124"/>
      <c r="D20" s="125"/>
      <c r="E20" s="126"/>
      <c r="F20" s="127"/>
      <c r="G20" s="128">
        <f t="shared" si="0"/>
        <v>0</v>
      </c>
    </row>
    <row r="21" spans="1:7" x14ac:dyDescent="0.25">
      <c r="A21" s="122"/>
      <c r="B21" s="132" t="s">
        <v>1490</v>
      </c>
      <c r="C21" s="124"/>
      <c r="D21" s="125"/>
      <c r="E21" s="126"/>
      <c r="F21" s="127"/>
      <c r="G21" s="128">
        <f t="shared" si="0"/>
        <v>0</v>
      </c>
    </row>
    <row r="22" spans="1:7" x14ac:dyDescent="0.25">
      <c r="A22" s="122" t="str">
        <f>'Kancelář 1'!A19</f>
        <v>73811954V</v>
      </c>
      <c r="B22" s="133" t="s">
        <v>1491</v>
      </c>
      <c r="C22" s="124"/>
      <c r="D22" s="125">
        <v>6</v>
      </c>
      <c r="E22" s="126" t="s">
        <v>1465</v>
      </c>
      <c r="F22" s="127"/>
      <c r="G22" s="128">
        <f t="shared" si="0"/>
        <v>0</v>
      </c>
    </row>
    <row r="23" spans="1:7" x14ac:dyDescent="0.25">
      <c r="A23" s="122" t="str">
        <f>'Kancelář 1'!A20</f>
        <v>735002V</v>
      </c>
      <c r="B23" s="133" t="s">
        <v>1492</v>
      </c>
      <c r="C23" s="124"/>
      <c r="D23" s="125">
        <v>6</v>
      </c>
      <c r="E23" s="126" t="s">
        <v>1465</v>
      </c>
      <c r="F23" s="127"/>
      <c r="G23" s="128">
        <f t="shared" si="0"/>
        <v>0</v>
      </c>
    </row>
    <row r="24" spans="1:7" x14ac:dyDescent="0.25">
      <c r="A24" s="122" t="str">
        <f>'Kancelář 1'!A21</f>
        <v>735012V</v>
      </c>
      <c r="B24" s="123" t="s">
        <v>1494</v>
      </c>
      <c r="C24" s="124"/>
      <c r="D24" s="125">
        <v>1</v>
      </c>
      <c r="E24" s="126" t="s">
        <v>1465</v>
      </c>
      <c r="F24" s="127"/>
      <c r="G24" s="128">
        <f t="shared" si="0"/>
        <v>0</v>
      </c>
    </row>
    <row r="25" spans="1:7" x14ac:dyDescent="0.25">
      <c r="A25" s="122"/>
      <c r="B25" s="123"/>
      <c r="C25" s="124"/>
      <c r="D25" s="125"/>
      <c r="E25" s="126"/>
      <c r="F25" s="127"/>
      <c r="G25" s="128">
        <f t="shared" si="0"/>
        <v>0</v>
      </c>
    </row>
    <row r="26" spans="1:7" x14ac:dyDescent="0.25">
      <c r="A26" s="122"/>
      <c r="B26" s="129" t="s">
        <v>1455</v>
      </c>
      <c r="C26" s="124"/>
      <c r="D26" s="125"/>
      <c r="E26" s="130"/>
      <c r="F26" s="127"/>
      <c r="G26" s="128">
        <f t="shared" si="0"/>
        <v>0</v>
      </c>
    </row>
    <row r="27" spans="1:7" x14ac:dyDescent="0.25">
      <c r="A27" s="122"/>
      <c r="B27" s="131" t="s">
        <v>1456</v>
      </c>
      <c r="C27" s="124"/>
      <c r="D27" s="125"/>
      <c r="E27" s="126"/>
      <c r="F27" s="127"/>
      <c r="G27" s="128">
        <f t="shared" si="0"/>
        <v>0</v>
      </c>
    </row>
    <row r="28" spans="1:7" x14ac:dyDescent="0.25">
      <c r="A28" s="122" t="str">
        <f>'Kancelář 1'!A25</f>
        <v>733163102V</v>
      </c>
      <c r="B28" s="131" t="s">
        <v>1495</v>
      </c>
      <c r="C28" s="124"/>
      <c r="D28" s="125">
        <v>55</v>
      </c>
      <c r="E28" s="126" t="s">
        <v>313</v>
      </c>
      <c r="F28" s="127"/>
      <c r="G28" s="128">
        <f t="shared" si="0"/>
        <v>0</v>
      </c>
    </row>
    <row r="29" spans="1:7" x14ac:dyDescent="0.25">
      <c r="A29" s="122" t="str">
        <f>'Kancelář 1'!A26</f>
        <v>733163103V</v>
      </c>
      <c r="B29" s="131" t="s">
        <v>1496</v>
      </c>
      <c r="C29" s="124"/>
      <c r="D29" s="125">
        <v>16</v>
      </c>
      <c r="E29" s="126" t="s">
        <v>313</v>
      </c>
      <c r="F29" s="127"/>
      <c r="G29" s="128">
        <f t="shared" si="0"/>
        <v>0</v>
      </c>
    </row>
    <row r="30" spans="1:7" x14ac:dyDescent="0.25">
      <c r="A30" s="122" t="str">
        <f>'Kancelář 1'!A27</f>
        <v>733163104V</v>
      </c>
      <c r="B30" s="123" t="s">
        <v>1457</v>
      </c>
      <c r="C30" s="124"/>
      <c r="D30" s="125">
        <v>8</v>
      </c>
      <c r="E30" s="126" t="s">
        <v>313</v>
      </c>
      <c r="F30" s="127"/>
      <c r="G30" s="128">
        <f t="shared" si="0"/>
        <v>0</v>
      </c>
    </row>
    <row r="31" spans="1:7" x14ac:dyDescent="0.25">
      <c r="A31" s="122" t="str">
        <f>'Kancelář 1'!A28</f>
        <v>733163105V</v>
      </c>
      <c r="B31" s="123" t="s">
        <v>1497</v>
      </c>
      <c r="C31" s="124"/>
      <c r="D31" s="125">
        <v>25</v>
      </c>
      <c r="E31" s="126" t="s">
        <v>313</v>
      </c>
      <c r="F31" s="127"/>
      <c r="G31" s="128">
        <f t="shared" si="0"/>
        <v>0</v>
      </c>
    </row>
    <row r="32" spans="1:7" x14ac:dyDescent="0.25">
      <c r="A32" s="122"/>
      <c r="B32" s="123"/>
      <c r="C32" s="124"/>
      <c r="D32" s="125"/>
      <c r="E32" s="126"/>
      <c r="F32" s="127"/>
      <c r="G32" s="128">
        <f t="shared" si="0"/>
        <v>0</v>
      </c>
    </row>
    <row r="33" spans="1:7" x14ac:dyDescent="0.25">
      <c r="A33" s="122"/>
      <c r="B33" s="132" t="s">
        <v>1458</v>
      </c>
      <c r="C33" s="124"/>
      <c r="D33" s="125"/>
      <c r="E33" s="126"/>
      <c r="F33" s="127"/>
      <c r="G33" s="128">
        <f t="shared" si="0"/>
        <v>0</v>
      </c>
    </row>
    <row r="34" spans="1:7" x14ac:dyDescent="0.25">
      <c r="A34" s="122"/>
      <c r="B34" s="131" t="s">
        <v>1459</v>
      </c>
      <c r="C34" s="124"/>
      <c r="D34" s="125"/>
      <c r="E34" s="126"/>
      <c r="F34" s="127"/>
      <c r="G34" s="128">
        <f t="shared" si="0"/>
        <v>0</v>
      </c>
    </row>
    <row r="35" spans="1:7" x14ac:dyDescent="0.25">
      <c r="A35" s="122" t="str">
        <f>'Kancelář 1'!A32</f>
        <v>722181211V</v>
      </c>
      <c r="B35" s="133" t="s">
        <v>1498</v>
      </c>
      <c r="C35" s="124"/>
      <c r="D35" s="125">
        <v>60</v>
      </c>
      <c r="E35" s="126" t="s">
        <v>313</v>
      </c>
      <c r="F35" s="127"/>
      <c r="G35" s="128">
        <f t="shared" si="0"/>
        <v>0</v>
      </c>
    </row>
    <row r="36" spans="1:7" x14ac:dyDescent="0.25">
      <c r="A36" s="122" t="str">
        <f>'Kancelář 1'!A33</f>
        <v>722181211V</v>
      </c>
      <c r="B36" s="133" t="s">
        <v>1499</v>
      </c>
      <c r="C36" s="124"/>
      <c r="D36" s="125">
        <v>18</v>
      </c>
      <c r="E36" s="126" t="s">
        <v>313</v>
      </c>
      <c r="F36" s="127"/>
      <c r="G36" s="128">
        <f t="shared" si="0"/>
        <v>0</v>
      </c>
    </row>
    <row r="37" spans="1:7" x14ac:dyDescent="0.25">
      <c r="A37" s="122" t="str">
        <f>'Kancelář 1'!A34</f>
        <v>722181214V</v>
      </c>
      <c r="B37" s="133" t="s">
        <v>1460</v>
      </c>
      <c r="C37" s="124"/>
      <c r="D37" s="125">
        <v>10</v>
      </c>
      <c r="E37" s="126" t="s">
        <v>313</v>
      </c>
      <c r="F37" s="127"/>
      <c r="G37" s="128">
        <f t="shared" si="0"/>
        <v>0</v>
      </c>
    </row>
    <row r="38" spans="1:7" x14ac:dyDescent="0.25">
      <c r="A38" s="122" t="str">
        <f>'Kancelář 1'!A35</f>
        <v>722181214V</v>
      </c>
      <c r="B38" s="123" t="s">
        <v>1500</v>
      </c>
      <c r="C38" s="124"/>
      <c r="D38" s="125">
        <v>28</v>
      </c>
      <c r="E38" s="126" t="s">
        <v>313</v>
      </c>
      <c r="F38" s="127"/>
      <c r="G38" s="128">
        <f t="shared" si="0"/>
        <v>0</v>
      </c>
    </row>
    <row r="39" spans="1:7" x14ac:dyDescent="0.25">
      <c r="A39" s="122"/>
      <c r="B39" s="123"/>
      <c r="C39" s="124"/>
      <c r="D39" s="125"/>
      <c r="E39" s="126"/>
      <c r="F39" s="127"/>
      <c r="G39" s="128">
        <f t="shared" si="0"/>
        <v>0</v>
      </c>
    </row>
    <row r="40" spans="1:7" x14ac:dyDescent="0.25">
      <c r="A40" s="122"/>
      <c r="B40" s="132" t="s">
        <v>1461</v>
      </c>
      <c r="C40" s="124"/>
      <c r="D40" s="125"/>
      <c r="E40" s="126"/>
      <c r="F40" s="127"/>
      <c r="G40" s="128">
        <f t="shared" si="0"/>
        <v>0</v>
      </c>
    </row>
    <row r="41" spans="1:7" x14ac:dyDescent="0.25">
      <c r="A41" s="122" t="str">
        <f>'Kancelář 1'!A38</f>
        <v>735003V</v>
      </c>
      <c r="B41" s="131" t="s">
        <v>1462</v>
      </c>
      <c r="C41" s="124"/>
      <c r="D41" s="125"/>
      <c r="E41" s="126"/>
      <c r="F41" s="127"/>
      <c r="G41" s="128">
        <f t="shared" si="0"/>
        <v>0</v>
      </c>
    </row>
    <row r="42" spans="1:7" x14ac:dyDescent="0.25">
      <c r="A42" s="122" t="str">
        <f>'Kancelář 1'!A39</f>
        <v>13211V</v>
      </c>
      <c r="B42" s="131" t="s">
        <v>1463</v>
      </c>
      <c r="C42" s="124"/>
      <c r="D42" s="125">
        <v>15</v>
      </c>
      <c r="E42" s="126" t="s">
        <v>313</v>
      </c>
      <c r="F42" s="127"/>
      <c r="G42" s="128">
        <f t="shared" si="0"/>
        <v>0</v>
      </c>
    </row>
    <row r="43" spans="1:7" x14ac:dyDescent="0.25">
      <c r="A43" s="122" t="str">
        <f>'Kancelář 1'!A40</f>
        <v>733001V</v>
      </c>
      <c r="B43" s="131" t="s">
        <v>1464</v>
      </c>
      <c r="C43" s="124"/>
      <c r="D43" s="125">
        <v>50</v>
      </c>
      <c r="E43" s="126" t="s">
        <v>1465</v>
      </c>
      <c r="F43" s="127"/>
      <c r="G43" s="128">
        <f t="shared" si="0"/>
        <v>0</v>
      </c>
    </row>
    <row r="44" spans="1:7" x14ac:dyDescent="0.25">
      <c r="A44" s="122"/>
      <c r="B44" s="131"/>
      <c r="C44" s="124"/>
      <c r="D44" s="125"/>
      <c r="E44" s="126"/>
      <c r="F44" s="127"/>
      <c r="G44" s="128">
        <f t="shared" si="0"/>
        <v>0</v>
      </c>
    </row>
    <row r="45" spans="1:7" x14ac:dyDescent="0.25">
      <c r="A45" s="122"/>
      <c r="B45" s="132" t="s">
        <v>1466</v>
      </c>
      <c r="C45" s="124"/>
      <c r="D45" s="125"/>
      <c r="E45" s="126"/>
      <c r="F45" s="127"/>
      <c r="G45" s="128">
        <f t="shared" si="0"/>
        <v>0</v>
      </c>
    </row>
    <row r="46" spans="1:7" x14ac:dyDescent="0.25">
      <c r="A46" s="122" t="s">
        <v>1501</v>
      </c>
      <c r="B46" s="131" t="s">
        <v>1467</v>
      </c>
      <c r="C46" s="124"/>
      <c r="D46" s="125">
        <v>1</v>
      </c>
      <c r="E46" s="126" t="s">
        <v>644</v>
      </c>
      <c r="F46" s="127"/>
      <c r="G46" s="128">
        <f t="shared" si="0"/>
        <v>0</v>
      </c>
    </row>
    <row r="47" spans="1:7" x14ac:dyDescent="0.25">
      <c r="A47" s="122" t="s">
        <v>1502</v>
      </c>
      <c r="B47" s="131" t="s">
        <v>1468</v>
      </c>
      <c r="C47" s="124"/>
      <c r="D47" s="125">
        <f>SUM(D28:D31)</f>
        <v>104</v>
      </c>
      <c r="E47" s="126" t="s">
        <v>313</v>
      </c>
      <c r="F47" s="127"/>
      <c r="G47" s="128">
        <f t="shared" si="0"/>
        <v>0</v>
      </c>
    </row>
    <row r="48" spans="1:7" x14ac:dyDescent="0.25">
      <c r="A48" s="122" t="s">
        <v>1503</v>
      </c>
      <c r="B48" s="131" t="s">
        <v>1469</v>
      </c>
      <c r="C48" s="124"/>
      <c r="D48" s="125">
        <v>24</v>
      </c>
      <c r="E48" s="126" t="s">
        <v>1470</v>
      </c>
      <c r="F48" s="127"/>
      <c r="G48" s="128">
        <f t="shared" si="0"/>
        <v>0</v>
      </c>
    </row>
    <row r="49" spans="1:7" x14ac:dyDescent="0.25">
      <c r="A49" s="122" t="s">
        <v>1504</v>
      </c>
      <c r="B49" s="131" t="s">
        <v>1505</v>
      </c>
      <c r="C49" s="124"/>
      <c r="D49" s="125">
        <v>8</v>
      </c>
      <c r="E49" s="126" t="s">
        <v>1470</v>
      </c>
      <c r="F49" s="127"/>
      <c r="G49" s="128">
        <f t="shared" si="0"/>
        <v>0</v>
      </c>
    </row>
    <row r="50" spans="1:7" x14ac:dyDescent="0.25">
      <c r="A50" s="122" t="s">
        <v>1506</v>
      </c>
      <c r="B50" s="131" t="s">
        <v>1471</v>
      </c>
      <c r="C50" s="124"/>
      <c r="D50" s="125">
        <v>8</v>
      </c>
      <c r="E50" s="126" t="s">
        <v>1470</v>
      </c>
      <c r="F50" s="127"/>
      <c r="G50" s="128">
        <f t="shared" si="0"/>
        <v>0</v>
      </c>
    </row>
    <row r="51" spans="1:7" x14ac:dyDescent="0.25">
      <c r="A51" s="122" t="s">
        <v>1472</v>
      </c>
      <c r="B51" s="131" t="s">
        <v>1473</v>
      </c>
      <c r="C51" s="124"/>
      <c r="D51" s="125">
        <v>1</v>
      </c>
      <c r="E51" s="126" t="s">
        <v>1474</v>
      </c>
      <c r="F51" s="127"/>
      <c r="G51" s="128">
        <f t="shared" si="0"/>
        <v>0</v>
      </c>
    </row>
    <row r="52" spans="1:7" x14ac:dyDescent="0.25">
      <c r="A52" s="122" t="s">
        <v>1475</v>
      </c>
      <c r="B52" s="131" t="s">
        <v>1476</v>
      </c>
      <c r="C52" s="124"/>
      <c r="D52" s="134">
        <v>1.3</v>
      </c>
      <c r="E52" s="126" t="s">
        <v>63</v>
      </c>
      <c r="F52" s="127"/>
      <c r="G52" s="128">
        <f t="shared" si="0"/>
        <v>0</v>
      </c>
    </row>
    <row r="53" spans="1:7" x14ac:dyDescent="0.25">
      <c r="A53" s="122"/>
      <c r="B53" s="123"/>
      <c r="C53" s="124"/>
      <c r="D53" s="125"/>
      <c r="E53" s="126"/>
      <c r="F53" s="135"/>
      <c r="G53" s="128"/>
    </row>
    <row r="54" spans="1:7" x14ac:dyDescent="0.25">
      <c r="A54" s="122"/>
      <c r="B54" s="131"/>
      <c r="C54" s="124"/>
      <c r="D54" s="125"/>
      <c r="E54" s="126"/>
      <c r="F54" s="135"/>
      <c r="G54" s="128"/>
    </row>
    <row r="55" spans="1:7" ht="16.5" thickBot="1" x14ac:dyDescent="0.3">
      <c r="A55" s="136"/>
      <c r="B55" s="137" t="s">
        <v>1477</v>
      </c>
      <c r="C55" s="138"/>
      <c r="D55" s="139"/>
      <c r="E55" s="140"/>
      <c r="F55" s="141"/>
      <c r="G55" s="142">
        <f>SUM(G7:G54)</f>
        <v>0</v>
      </c>
    </row>
  </sheetData>
  <mergeCells count="3">
    <mergeCell ref="D1:E2"/>
    <mergeCell ref="F1:G2"/>
    <mergeCell ref="B5:G5"/>
  </mergeCells>
  <pageMargins left="0.7" right="0.7" top="0.78740157499999996" bottom="0.78740157499999996" header="0.3" footer="0.3"/>
  <pageSetup paperSize="9" scale="8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F0DF-99AC-4A95-A862-E516BE5A0FB0}">
  <sheetPr>
    <pageSetUpPr fitToPage="1"/>
  </sheetPr>
  <dimension ref="B2:BM316"/>
  <sheetViews>
    <sheetView showGridLines="0" tabSelected="1" topLeftCell="A166" workbookViewId="0">
      <selection activeCell="F153" sqref="F153"/>
    </sheetView>
  </sheetViews>
  <sheetFormatPr defaultColWidth="8.85546875" defaultRowHeight="11.25" x14ac:dyDescent="0.2"/>
  <cols>
    <col min="1" max="1" width="6.42578125" style="145" customWidth="1"/>
    <col min="2" max="2" width="0.85546875" style="145" customWidth="1"/>
    <col min="3" max="4" width="3.28515625" style="145" customWidth="1"/>
    <col min="5" max="5" width="13.28515625" style="145" customWidth="1"/>
    <col min="6" max="6" width="39.5703125" style="145" customWidth="1"/>
    <col min="7" max="7" width="5.7109375" style="145" customWidth="1"/>
    <col min="8" max="8" width="10.85546875" style="145" customWidth="1"/>
    <col min="9" max="9" width="12.28515625" style="145" customWidth="1"/>
    <col min="10" max="10" width="17.28515625" style="145" customWidth="1"/>
    <col min="11" max="11" width="17.28515625" style="145" hidden="1" customWidth="1"/>
    <col min="12" max="12" width="7.28515625" style="145" customWidth="1"/>
    <col min="13" max="13" width="8.42578125" style="145" hidden="1" customWidth="1"/>
    <col min="14" max="14" width="8.85546875" style="145"/>
    <col min="15" max="20" width="11" style="145" hidden="1" customWidth="1"/>
    <col min="21" max="21" width="12.7109375" style="145" hidden="1" customWidth="1"/>
    <col min="22" max="22" width="9.5703125" style="145" customWidth="1"/>
    <col min="23" max="23" width="12.7109375" style="145" customWidth="1"/>
    <col min="24" max="24" width="9.5703125" style="145" customWidth="1"/>
    <col min="25" max="25" width="11.7109375" style="145" customWidth="1"/>
    <col min="26" max="26" width="8.5703125" style="145" customWidth="1"/>
    <col min="27" max="27" width="11.7109375" style="145" customWidth="1"/>
    <col min="28" max="28" width="12.7109375" style="145" customWidth="1"/>
    <col min="29" max="29" width="8.5703125" style="145" customWidth="1"/>
    <col min="30" max="30" width="11.7109375" style="145" customWidth="1"/>
    <col min="31" max="31" width="12.7109375" style="145" customWidth="1"/>
    <col min="32" max="16384" width="8.85546875" style="145"/>
  </cols>
  <sheetData>
    <row r="2" spans="2:46" ht="36.950000000000003" customHeight="1" x14ac:dyDescent="0.2">
      <c r="L2" s="377" t="s">
        <v>1519</v>
      </c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146" t="s">
        <v>1520</v>
      </c>
    </row>
    <row r="3" spans="2:46" ht="6.95" customHeight="1" x14ac:dyDescent="0.2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9"/>
      <c r="AT3" s="146" t="s">
        <v>221</v>
      </c>
    </row>
    <row r="4" spans="2:46" ht="24.95" customHeight="1" x14ac:dyDescent="0.2">
      <c r="B4" s="149"/>
      <c r="D4" s="150" t="s">
        <v>1521</v>
      </c>
      <c r="L4" s="149"/>
      <c r="M4" s="151" t="s">
        <v>1522</v>
      </c>
      <c r="AT4" s="146" t="s">
        <v>1523</v>
      </c>
    </row>
    <row r="5" spans="2:46" ht="6.95" customHeight="1" x14ac:dyDescent="0.2">
      <c r="B5" s="149"/>
      <c r="L5" s="149"/>
    </row>
    <row r="6" spans="2:46" s="152" customFormat="1" ht="12" customHeight="1" x14ac:dyDescent="0.25">
      <c r="B6" s="153"/>
      <c r="D6" s="154" t="s">
        <v>1524</v>
      </c>
      <c r="L6" s="153"/>
    </row>
    <row r="7" spans="2:46" s="152" customFormat="1" ht="30" customHeight="1" x14ac:dyDescent="0.25">
      <c r="B7" s="153"/>
      <c r="E7" s="375" t="s">
        <v>1525</v>
      </c>
      <c r="F7" s="376"/>
      <c r="G7" s="376"/>
      <c r="H7" s="376"/>
      <c r="L7" s="153"/>
    </row>
    <row r="8" spans="2:46" s="152" customFormat="1" x14ac:dyDescent="0.25">
      <c r="B8" s="153"/>
      <c r="L8" s="153"/>
    </row>
    <row r="9" spans="2:46" s="152" customFormat="1" ht="12" customHeight="1" x14ac:dyDescent="0.25">
      <c r="B9" s="153"/>
      <c r="D9" s="154" t="s">
        <v>1526</v>
      </c>
      <c r="F9" s="155" t="s">
        <v>4</v>
      </c>
      <c r="I9" s="154" t="s">
        <v>1527</v>
      </c>
      <c r="J9" s="155" t="s">
        <v>4</v>
      </c>
      <c r="L9" s="153"/>
    </row>
    <row r="10" spans="2:46" s="152" customFormat="1" ht="12" customHeight="1" x14ac:dyDescent="0.25">
      <c r="B10" s="153"/>
      <c r="D10" s="154" t="s">
        <v>1528</v>
      </c>
      <c r="F10" s="155" t="s">
        <v>81</v>
      </c>
      <c r="I10" s="154" t="s">
        <v>15</v>
      </c>
      <c r="J10" s="156" t="s">
        <v>2115</v>
      </c>
      <c r="L10" s="153"/>
    </row>
    <row r="11" spans="2:46" s="152" customFormat="1" ht="10.9" customHeight="1" x14ac:dyDescent="0.25">
      <c r="B11" s="153"/>
      <c r="L11" s="153"/>
    </row>
    <row r="12" spans="2:46" s="152" customFormat="1" ht="12" customHeight="1" x14ac:dyDescent="0.25">
      <c r="B12" s="153"/>
      <c r="D12" s="154" t="s">
        <v>1529</v>
      </c>
      <c r="I12" s="154" t="s">
        <v>1530</v>
      </c>
      <c r="J12" s="155" t="s">
        <v>4</v>
      </c>
      <c r="L12" s="153"/>
    </row>
    <row r="13" spans="2:46" s="152" customFormat="1" ht="18" customHeight="1" x14ac:dyDescent="0.25">
      <c r="B13" s="153"/>
      <c r="E13" s="155" t="s">
        <v>81</v>
      </c>
      <c r="I13" s="154" t="s">
        <v>1531</v>
      </c>
      <c r="J13" s="155" t="s">
        <v>4</v>
      </c>
      <c r="L13" s="153"/>
    </row>
    <row r="14" spans="2:46" s="152" customFormat="1" ht="6.95" customHeight="1" x14ac:dyDescent="0.25">
      <c r="B14" s="153"/>
      <c r="L14" s="153"/>
    </row>
    <row r="15" spans="2:46" s="152" customFormat="1" ht="12" customHeight="1" x14ac:dyDescent="0.25">
      <c r="B15" s="153"/>
      <c r="D15" s="154" t="s">
        <v>1532</v>
      </c>
      <c r="I15" s="154" t="s">
        <v>1530</v>
      </c>
      <c r="J15" s="157" t="s">
        <v>2116</v>
      </c>
      <c r="L15" s="153"/>
    </row>
    <row r="16" spans="2:46" s="152" customFormat="1" ht="18" customHeight="1" x14ac:dyDescent="0.25">
      <c r="B16" s="153"/>
      <c r="E16" s="379" t="s">
        <v>2116</v>
      </c>
      <c r="F16" s="380"/>
      <c r="G16" s="380"/>
      <c r="H16" s="380"/>
      <c r="I16" s="154" t="s">
        <v>1531</v>
      </c>
      <c r="J16" s="157" t="s">
        <v>2116</v>
      </c>
      <c r="L16" s="153"/>
    </row>
    <row r="17" spans="2:12" s="152" customFormat="1" ht="6.95" customHeight="1" x14ac:dyDescent="0.25">
      <c r="B17" s="153"/>
      <c r="L17" s="153"/>
    </row>
    <row r="18" spans="2:12" s="152" customFormat="1" ht="12" customHeight="1" x14ac:dyDescent="0.25">
      <c r="B18" s="153"/>
      <c r="D18" s="154" t="s">
        <v>6</v>
      </c>
      <c r="I18" s="154" t="s">
        <v>1530</v>
      </c>
      <c r="J18" s="155" t="s">
        <v>4</v>
      </c>
      <c r="L18" s="153"/>
    </row>
    <row r="19" spans="2:12" s="152" customFormat="1" ht="18" customHeight="1" x14ac:dyDescent="0.25">
      <c r="B19" s="153"/>
      <c r="E19" s="155" t="s">
        <v>81</v>
      </c>
      <c r="I19" s="154" t="s">
        <v>1531</v>
      </c>
      <c r="J19" s="155" t="s">
        <v>4</v>
      </c>
      <c r="L19" s="153"/>
    </row>
    <row r="20" spans="2:12" s="152" customFormat="1" ht="6.95" customHeight="1" x14ac:dyDescent="0.25">
      <c r="B20" s="153"/>
      <c r="L20" s="153"/>
    </row>
    <row r="21" spans="2:12" s="152" customFormat="1" ht="12" customHeight="1" x14ac:dyDescent="0.25">
      <c r="B21" s="153"/>
      <c r="D21" s="154" t="s">
        <v>1533</v>
      </c>
      <c r="I21" s="154" t="s">
        <v>1530</v>
      </c>
      <c r="J21" s="155" t="s">
        <v>4</v>
      </c>
      <c r="L21" s="153"/>
    </row>
    <row r="22" spans="2:12" s="152" customFormat="1" ht="18" customHeight="1" x14ac:dyDescent="0.25">
      <c r="B22" s="153"/>
      <c r="E22" s="155" t="s">
        <v>81</v>
      </c>
      <c r="I22" s="154" t="s">
        <v>1531</v>
      </c>
      <c r="J22" s="155" t="s">
        <v>4</v>
      </c>
      <c r="L22" s="153"/>
    </row>
    <row r="23" spans="2:12" s="152" customFormat="1" ht="6.95" customHeight="1" x14ac:dyDescent="0.25">
      <c r="B23" s="153"/>
      <c r="L23" s="153"/>
    </row>
    <row r="24" spans="2:12" s="152" customFormat="1" ht="12" customHeight="1" x14ac:dyDescent="0.25">
      <c r="B24" s="153"/>
      <c r="D24" s="154" t="s">
        <v>57</v>
      </c>
      <c r="L24" s="153"/>
    </row>
    <row r="25" spans="2:12" s="158" customFormat="1" ht="16.5" customHeight="1" x14ac:dyDescent="0.25">
      <c r="B25" s="159"/>
      <c r="E25" s="381" t="s">
        <v>4</v>
      </c>
      <c r="F25" s="381"/>
      <c r="G25" s="381"/>
      <c r="H25" s="381"/>
      <c r="L25" s="159"/>
    </row>
    <row r="26" spans="2:12" s="152" customFormat="1" ht="6.95" customHeight="1" x14ac:dyDescent="0.25">
      <c r="B26" s="153"/>
      <c r="L26" s="153"/>
    </row>
    <row r="27" spans="2:12" s="152" customFormat="1" ht="6.95" customHeight="1" x14ac:dyDescent="0.25">
      <c r="B27" s="153"/>
      <c r="D27" s="161"/>
      <c r="E27" s="161"/>
      <c r="F27" s="161"/>
      <c r="G27" s="161"/>
      <c r="H27" s="161"/>
      <c r="I27" s="161"/>
      <c r="J27" s="161"/>
      <c r="K27" s="161"/>
      <c r="L27" s="153"/>
    </row>
    <row r="28" spans="2:12" s="152" customFormat="1" ht="25.35" customHeight="1" x14ac:dyDescent="0.25">
      <c r="B28" s="153"/>
      <c r="D28" s="162" t="s">
        <v>1534</v>
      </c>
      <c r="J28" s="163">
        <f>ROUND(J130, 2)</f>
        <v>0</v>
      </c>
      <c r="L28" s="153"/>
    </row>
    <row r="29" spans="2:12" s="152" customFormat="1" ht="6.95" customHeight="1" x14ac:dyDescent="0.25">
      <c r="B29" s="153"/>
      <c r="D29" s="161"/>
      <c r="E29" s="161"/>
      <c r="F29" s="161"/>
      <c r="G29" s="161"/>
      <c r="H29" s="161"/>
      <c r="I29" s="161"/>
      <c r="J29" s="161"/>
      <c r="K29" s="161"/>
      <c r="L29" s="153"/>
    </row>
    <row r="30" spans="2:12" s="152" customFormat="1" ht="14.45" customHeight="1" x14ac:dyDescent="0.25">
      <c r="B30" s="153"/>
      <c r="F30" s="164" t="s">
        <v>1535</v>
      </c>
      <c r="I30" s="164" t="s">
        <v>1536</v>
      </c>
      <c r="J30" s="164" t="s">
        <v>1537</v>
      </c>
      <c r="L30" s="153"/>
    </row>
    <row r="31" spans="2:12" s="152" customFormat="1" ht="14.45" customHeight="1" x14ac:dyDescent="0.25">
      <c r="B31" s="153"/>
      <c r="D31" s="165" t="s">
        <v>1538</v>
      </c>
      <c r="E31" s="154" t="s">
        <v>1539</v>
      </c>
      <c r="F31" s="166">
        <f>ROUND((SUM(BE130:BE315)),  2)</f>
        <v>0</v>
      </c>
      <c r="I31" s="167">
        <v>0.21</v>
      </c>
      <c r="J31" s="166">
        <f>ROUND(((SUM(BE130:BE315))*I31),  2)</f>
        <v>0</v>
      </c>
      <c r="L31" s="153"/>
    </row>
    <row r="32" spans="2:12" s="152" customFormat="1" ht="14.45" customHeight="1" x14ac:dyDescent="0.25">
      <c r="B32" s="153"/>
      <c r="E32" s="154" t="s">
        <v>1540</v>
      </c>
      <c r="F32" s="166">
        <f>ROUND((SUM(BF130:BF315)),  2)</f>
        <v>0</v>
      </c>
      <c r="I32" s="167">
        <v>0.15</v>
      </c>
      <c r="J32" s="166">
        <f>ROUND(((SUM(BF130:BF315))*I32),  2)</f>
        <v>0</v>
      </c>
      <c r="L32" s="153"/>
    </row>
    <row r="33" spans="2:12" s="152" customFormat="1" ht="14.45" hidden="1" customHeight="1" x14ac:dyDescent="0.25">
      <c r="B33" s="153"/>
      <c r="E33" s="154" t="s">
        <v>1541</v>
      </c>
      <c r="F33" s="166">
        <f>ROUND((SUM(BG130:BG315)),  2)</f>
        <v>0</v>
      </c>
      <c r="I33" s="167">
        <v>0.21</v>
      </c>
      <c r="J33" s="166">
        <f>0</f>
        <v>0</v>
      </c>
      <c r="L33" s="153"/>
    </row>
    <row r="34" spans="2:12" s="152" customFormat="1" ht="14.45" hidden="1" customHeight="1" x14ac:dyDescent="0.25">
      <c r="B34" s="153"/>
      <c r="E34" s="154" t="s">
        <v>1542</v>
      </c>
      <c r="F34" s="166">
        <f>ROUND((SUM(BH130:BH315)),  2)</f>
        <v>0</v>
      </c>
      <c r="I34" s="167">
        <v>0.15</v>
      </c>
      <c r="J34" s="166">
        <f>0</f>
        <v>0</v>
      </c>
      <c r="L34" s="153"/>
    </row>
    <row r="35" spans="2:12" s="152" customFormat="1" ht="14.45" hidden="1" customHeight="1" x14ac:dyDescent="0.25">
      <c r="B35" s="153"/>
      <c r="E35" s="154" t="s">
        <v>1543</v>
      </c>
      <c r="F35" s="166">
        <f>ROUND((SUM(BI130:BI315)),  2)</f>
        <v>0</v>
      </c>
      <c r="I35" s="167">
        <v>0</v>
      </c>
      <c r="J35" s="166">
        <f>0</f>
        <v>0</v>
      </c>
      <c r="L35" s="153"/>
    </row>
    <row r="36" spans="2:12" s="152" customFormat="1" ht="6.95" customHeight="1" x14ac:dyDescent="0.25">
      <c r="B36" s="153"/>
      <c r="L36" s="153"/>
    </row>
    <row r="37" spans="2:12" s="152" customFormat="1" ht="25.35" customHeight="1" x14ac:dyDescent="0.25">
      <c r="B37" s="153"/>
      <c r="C37" s="168"/>
      <c r="D37" s="169" t="s">
        <v>1544</v>
      </c>
      <c r="E37" s="170"/>
      <c r="F37" s="170"/>
      <c r="G37" s="171" t="s">
        <v>1545</v>
      </c>
      <c r="H37" s="172" t="s">
        <v>1546</v>
      </c>
      <c r="I37" s="170"/>
      <c r="J37" s="173">
        <f>SUM(J28:J35)</f>
        <v>0</v>
      </c>
      <c r="K37" s="174"/>
      <c r="L37" s="153"/>
    </row>
    <row r="38" spans="2:12" s="152" customFormat="1" ht="14.45" customHeight="1" x14ac:dyDescent="0.25">
      <c r="B38" s="153"/>
      <c r="L38" s="153"/>
    </row>
    <row r="39" spans="2:12" ht="14.45" customHeight="1" x14ac:dyDescent="0.2">
      <c r="B39" s="149"/>
      <c r="L39" s="149"/>
    </row>
    <row r="40" spans="2:12" ht="14.45" customHeight="1" x14ac:dyDescent="0.2">
      <c r="B40" s="149"/>
      <c r="L40" s="149"/>
    </row>
    <row r="41" spans="2:12" ht="14.45" customHeight="1" x14ac:dyDescent="0.2">
      <c r="B41" s="149"/>
      <c r="L41" s="149"/>
    </row>
    <row r="42" spans="2:12" ht="14.45" customHeight="1" x14ac:dyDescent="0.2">
      <c r="B42" s="149"/>
      <c r="L42" s="149"/>
    </row>
    <row r="43" spans="2:12" ht="14.45" customHeight="1" x14ac:dyDescent="0.2">
      <c r="B43" s="149"/>
      <c r="L43" s="149"/>
    </row>
    <row r="44" spans="2:12" ht="14.45" customHeight="1" x14ac:dyDescent="0.2">
      <c r="B44" s="149"/>
      <c r="L44" s="149"/>
    </row>
    <row r="45" spans="2:12" ht="14.45" customHeight="1" x14ac:dyDescent="0.2">
      <c r="B45" s="149"/>
      <c r="L45" s="149"/>
    </row>
    <row r="46" spans="2:12" ht="14.45" customHeight="1" x14ac:dyDescent="0.2">
      <c r="B46" s="149"/>
      <c r="L46" s="149"/>
    </row>
    <row r="47" spans="2:12" ht="14.45" customHeight="1" x14ac:dyDescent="0.2">
      <c r="B47" s="149"/>
      <c r="L47" s="149"/>
    </row>
    <row r="48" spans="2:12" ht="14.45" customHeight="1" x14ac:dyDescent="0.2">
      <c r="B48" s="149"/>
      <c r="L48" s="149"/>
    </row>
    <row r="49" spans="2:12" ht="14.45" customHeight="1" x14ac:dyDescent="0.2">
      <c r="B49" s="149"/>
      <c r="L49" s="149"/>
    </row>
    <row r="50" spans="2:12" s="152" customFormat="1" ht="14.45" customHeight="1" x14ac:dyDescent="0.25">
      <c r="B50" s="153"/>
      <c r="D50" s="175" t="s">
        <v>53</v>
      </c>
      <c r="E50" s="176"/>
      <c r="F50" s="176"/>
      <c r="G50" s="175" t="s">
        <v>1547</v>
      </c>
      <c r="H50" s="176"/>
      <c r="I50" s="176"/>
      <c r="J50" s="176"/>
      <c r="K50" s="176"/>
      <c r="L50" s="153"/>
    </row>
    <row r="51" spans="2:12" x14ac:dyDescent="0.2">
      <c r="B51" s="149"/>
      <c r="L51" s="149"/>
    </row>
    <row r="52" spans="2:12" x14ac:dyDescent="0.2">
      <c r="B52" s="149"/>
      <c r="L52" s="149"/>
    </row>
    <row r="53" spans="2:12" x14ac:dyDescent="0.2">
      <c r="B53" s="149"/>
      <c r="L53" s="149"/>
    </row>
    <row r="54" spans="2:12" x14ac:dyDescent="0.2">
      <c r="B54" s="149"/>
      <c r="L54" s="149"/>
    </row>
    <row r="55" spans="2:12" x14ac:dyDescent="0.2">
      <c r="B55" s="149"/>
      <c r="L55" s="149"/>
    </row>
    <row r="56" spans="2:12" x14ac:dyDescent="0.2">
      <c r="B56" s="149"/>
      <c r="L56" s="149"/>
    </row>
    <row r="57" spans="2:12" x14ac:dyDescent="0.2">
      <c r="B57" s="149"/>
      <c r="L57" s="149"/>
    </row>
    <row r="58" spans="2:12" x14ac:dyDescent="0.2">
      <c r="B58" s="149"/>
      <c r="L58" s="149"/>
    </row>
    <row r="59" spans="2:12" x14ac:dyDescent="0.2">
      <c r="B59" s="149"/>
      <c r="L59" s="149"/>
    </row>
    <row r="60" spans="2:12" x14ac:dyDescent="0.2">
      <c r="B60" s="149"/>
      <c r="L60" s="149"/>
    </row>
    <row r="61" spans="2:12" s="152" customFormat="1" ht="12.75" x14ac:dyDescent="0.25">
      <c r="B61" s="153"/>
      <c r="D61" s="177" t="s">
        <v>1548</v>
      </c>
      <c r="E61" s="178"/>
      <c r="F61" s="179" t="s">
        <v>1549</v>
      </c>
      <c r="G61" s="177" t="s">
        <v>1548</v>
      </c>
      <c r="H61" s="178"/>
      <c r="I61" s="178"/>
      <c r="J61" s="180" t="s">
        <v>1549</v>
      </c>
      <c r="K61" s="178"/>
      <c r="L61" s="153"/>
    </row>
    <row r="62" spans="2:12" x14ac:dyDescent="0.2">
      <c r="B62" s="149"/>
      <c r="L62" s="149"/>
    </row>
    <row r="63" spans="2:12" x14ac:dyDescent="0.2">
      <c r="B63" s="149"/>
      <c r="L63" s="149"/>
    </row>
    <row r="64" spans="2:12" x14ac:dyDescent="0.2">
      <c r="B64" s="149"/>
      <c r="L64" s="149"/>
    </row>
    <row r="65" spans="2:12" s="152" customFormat="1" ht="12.75" x14ac:dyDescent="0.25">
      <c r="B65" s="153"/>
      <c r="D65" s="175" t="s">
        <v>1550</v>
      </c>
      <c r="E65" s="176"/>
      <c r="F65" s="176"/>
      <c r="G65" s="175" t="s">
        <v>1551</v>
      </c>
      <c r="H65" s="176"/>
      <c r="I65" s="176"/>
      <c r="J65" s="176"/>
      <c r="K65" s="176"/>
      <c r="L65" s="153"/>
    </row>
    <row r="66" spans="2:12" x14ac:dyDescent="0.2">
      <c r="B66" s="149"/>
      <c r="L66" s="149"/>
    </row>
    <row r="67" spans="2:12" x14ac:dyDescent="0.2">
      <c r="B67" s="149"/>
      <c r="L67" s="149"/>
    </row>
    <row r="68" spans="2:12" x14ac:dyDescent="0.2">
      <c r="B68" s="149"/>
      <c r="L68" s="149"/>
    </row>
    <row r="69" spans="2:12" x14ac:dyDescent="0.2">
      <c r="B69" s="149"/>
      <c r="L69" s="149"/>
    </row>
    <row r="70" spans="2:12" x14ac:dyDescent="0.2">
      <c r="B70" s="149"/>
      <c r="L70" s="149"/>
    </row>
    <row r="71" spans="2:12" x14ac:dyDescent="0.2">
      <c r="B71" s="149"/>
      <c r="L71" s="149"/>
    </row>
    <row r="72" spans="2:12" x14ac:dyDescent="0.2">
      <c r="B72" s="149"/>
      <c r="L72" s="149"/>
    </row>
    <row r="73" spans="2:12" x14ac:dyDescent="0.2">
      <c r="B73" s="149"/>
      <c r="L73" s="149"/>
    </row>
    <row r="74" spans="2:12" x14ac:dyDescent="0.2">
      <c r="B74" s="149"/>
      <c r="L74" s="149"/>
    </row>
    <row r="75" spans="2:12" x14ac:dyDescent="0.2">
      <c r="B75" s="149"/>
      <c r="L75" s="149"/>
    </row>
    <row r="76" spans="2:12" s="152" customFormat="1" ht="12.75" x14ac:dyDescent="0.25">
      <c r="B76" s="153"/>
      <c r="D76" s="177" t="s">
        <v>1548</v>
      </c>
      <c r="E76" s="178"/>
      <c r="F76" s="179" t="s">
        <v>1549</v>
      </c>
      <c r="G76" s="177" t="s">
        <v>1548</v>
      </c>
      <c r="H76" s="178"/>
      <c r="I76" s="178"/>
      <c r="J76" s="180" t="s">
        <v>1549</v>
      </c>
      <c r="K76" s="178"/>
      <c r="L76" s="153"/>
    </row>
    <row r="77" spans="2:12" s="152" customFormat="1" ht="14.45" customHeight="1" x14ac:dyDescent="0.25"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153"/>
    </row>
    <row r="81" spans="2:47" s="152" customFormat="1" ht="6.95" customHeight="1" x14ac:dyDescent="0.25"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53"/>
    </row>
    <row r="82" spans="2:47" s="152" customFormat="1" ht="24.95" customHeight="1" x14ac:dyDescent="0.25">
      <c r="B82" s="153"/>
      <c r="C82" s="150" t="s">
        <v>1552</v>
      </c>
      <c r="L82" s="153"/>
    </row>
    <row r="83" spans="2:47" s="152" customFormat="1" ht="6.95" customHeight="1" x14ac:dyDescent="0.25">
      <c r="B83" s="153"/>
      <c r="L83" s="153"/>
    </row>
    <row r="84" spans="2:47" s="152" customFormat="1" ht="12" customHeight="1" x14ac:dyDescent="0.25">
      <c r="B84" s="153"/>
      <c r="C84" s="154" t="s">
        <v>1524</v>
      </c>
      <c r="L84" s="153"/>
    </row>
    <row r="85" spans="2:47" s="152" customFormat="1" ht="30" customHeight="1" x14ac:dyDescent="0.25">
      <c r="B85" s="153"/>
      <c r="E85" s="375" t="str">
        <f>E7</f>
        <v>STAVEBNÍ ÚPRAVY OBJEKTU Č.P. 80 SE ZMĚNOU UŽÍVÁNÍ,CETORAZ PARC.Č. ST.89-byty, kanceláře</v>
      </c>
      <c r="F85" s="376"/>
      <c r="G85" s="376"/>
      <c r="H85" s="376"/>
      <c r="L85" s="153"/>
    </row>
    <row r="86" spans="2:47" s="152" customFormat="1" ht="6.95" customHeight="1" x14ac:dyDescent="0.25">
      <c r="B86" s="153"/>
      <c r="L86" s="153"/>
    </row>
    <row r="87" spans="2:47" s="152" customFormat="1" ht="12" customHeight="1" x14ac:dyDescent="0.25">
      <c r="B87" s="153"/>
      <c r="C87" s="154" t="s">
        <v>1528</v>
      </c>
      <c r="F87" s="155" t="str">
        <f>F10</f>
        <v xml:space="preserve"> </v>
      </c>
      <c r="I87" s="154" t="s">
        <v>15</v>
      </c>
      <c r="J87" s="156" t="str">
        <f>IF(J10="","",J10)</f>
        <v>2. 12. 2024</v>
      </c>
      <c r="L87" s="153"/>
    </row>
    <row r="88" spans="2:47" s="152" customFormat="1" ht="6.95" customHeight="1" x14ac:dyDescent="0.25">
      <c r="B88" s="153"/>
      <c r="L88" s="153"/>
    </row>
    <row r="89" spans="2:47" s="152" customFormat="1" ht="15.2" customHeight="1" x14ac:dyDescent="0.25">
      <c r="B89" s="153"/>
      <c r="C89" s="154" t="s">
        <v>1529</v>
      </c>
      <c r="F89" s="155" t="str">
        <f>E13</f>
        <v xml:space="preserve"> </v>
      </c>
      <c r="I89" s="154" t="s">
        <v>6</v>
      </c>
      <c r="J89" s="160" t="str">
        <f>E19</f>
        <v xml:space="preserve"> </v>
      </c>
      <c r="L89" s="153"/>
    </row>
    <row r="90" spans="2:47" s="152" customFormat="1" ht="15.2" customHeight="1" x14ac:dyDescent="0.25">
      <c r="B90" s="153"/>
      <c r="C90" s="154" t="s">
        <v>1532</v>
      </c>
      <c r="F90" s="155" t="str">
        <f>IF(E16="","",E16)</f>
        <v>Vyplň údaj</v>
      </c>
      <c r="I90" s="154" t="s">
        <v>1533</v>
      </c>
      <c r="J90" s="160" t="str">
        <f>E22</f>
        <v xml:space="preserve"> </v>
      </c>
      <c r="L90" s="153"/>
    </row>
    <row r="91" spans="2:47" s="152" customFormat="1" ht="10.35" customHeight="1" x14ac:dyDescent="0.25">
      <c r="B91" s="153"/>
      <c r="L91" s="153"/>
    </row>
    <row r="92" spans="2:47" s="152" customFormat="1" ht="29.25" customHeight="1" x14ac:dyDescent="0.25">
      <c r="B92" s="153"/>
      <c r="C92" s="185" t="s">
        <v>1553</v>
      </c>
      <c r="D92" s="168"/>
      <c r="E92" s="168"/>
      <c r="F92" s="168"/>
      <c r="G92" s="168"/>
      <c r="H92" s="168"/>
      <c r="I92" s="168"/>
      <c r="J92" s="186" t="s">
        <v>1554</v>
      </c>
      <c r="K92" s="168"/>
      <c r="L92" s="153"/>
    </row>
    <row r="93" spans="2:47" s="152" customFormat="1" ht="10.35" customHeight="1" x14ac:dyDescent="0.25">
      <c r="B93" s="153"/>
      <c r="L93" s="153"/>
    </row>
    <row r="94" spans="2:47" s="152" customFormat="1" ht="22.9" customHeight="1" x14ac:dyDescent="0.25">
      <c r="B94" s="153"/>
      <c r="C94" s="187" t="s">
        <v>1555</v>
      </c>
      <c r="J94" s="163">
        <f>J130</f>
        <v>0</v>
      </c>
      <c r="L94" s="153"/>
      <c r="AU94" s="146" t="s">
        <v>1556</v>
      </c>
    </row>
    <row r="95" spans="2:47" s="188" customFormat="1" ht="24.95" customHeight="1" x14ac:dyDescent="0.25">
      <c r="B95" s="189"/>
      <c r="D95" s="190" t="s">
        <v>1557</v>
      </c>
      <c r="E95" s="191"/>
      <c r="F95" s="191"/>
      <c r="G95" s="191"/>
      <c r="H95" s="191"/>
      <c r="I95" s="191"/>
      <c r="J95" s="192">
        <f>J131</f>
        <v>0</v>
      </c>
      <c r="L95" s="189"/>
    </row>
    <row r="96" spans="2:47" s="193" customFormat="1" ht="19.899999999999999" customHeight="1" x14ac:dyDescent="0.25">
      <c r="B96" s="194"/>
      <c r="D96" s="195" t="s">
        <v>1558</v>
      </c>
      <c r="E96" s="196"/>
      <c r="F96" s="196"/>
      <c r="G96" s="196"/>
      <c r="H96" s="196"/>
      <c r="I96" s="196"/>
      <c r="J96" s="197">
        <f>J132</f>
        <v>0</v>
      </c>
      <c r="L96" s="194"/>
    </row>
    <row r="97" spans="2:12" s="193" customFormat="1" ht="19.899999999999999" customHeight="1" x14ac:dyDescent="0.25">
      <c r="B97" s="194"/>
      <c r="D97" s="195" t="s">
        <v>1559</v>
      </c>
      <c r="E97" s="196"/>
      <c r="F97" s="196"/>
      <c r="G97" s="196"/>
      <c r="H97" s="196"/>
      <c r="I97" s="196"/>
      <c r="J97" s="197">
        <f>J134</f>
        <v>0</v>
      </c>
      <c r="L97" s="194"/>
    </row>
    <row r="98" spans="2:12" s="193" customFormat="1" ht="19.899999999999999" customHeight="1" x14ac:dyDescent="0.25">
      <c r="B98" s="194"/>
      <c r="D98" s="195" t="s">
        <v>1560</v>
      </c>
      <c r="E98" s="196"/>
      <c r="F98" s="196"/>
      <c r="G98" s="196"/>
      <c r="H98" s="196"/>
      <c r="I98" s="196"/>
      <c r="J98" s="197">
        <f>J157</f>
        <v>0</v>
      </c>
      <c r="L98" s="194"/>
    </row>
    <row r="99" spans="2:12" s="193" customFormat="1" ht="19.899999999999999" customHeight="1" x14ac:dyDescent="0.25">
      <c r="B99" s="194"/>
      <c r="D99" s="195" t="s">
        <v>1561</v>
      </c>
      <c r="E99" s="196"/>
      <c r="F99" s="196"/>
      <c r="G99" s="196"/>
      <c r="H99" s="196"/>
      <c r="I99" s="196"/>
      <c r="J99" s="197">
        <f>J169</f>
        <v>0</v>
      </c>
      <c r="L99" s="194"/>
    </row>
    <row r="100" spans="2:12" s="193" customFormat="1" ht="19.899999999999999" customHeight="1" x14ac:dyDescent="0.25">
      <c r="B100" s="194"/>
      <c r="D100" s="195" t="s">
        <v>1562</v>
      </c>
      <c r="E100" s="196"/>
      <c r="F100" s="196"/>
      <c r="G100" s="196"/>
      <c r="H100" s="196"/>
      <c r="I100" s="196"/>
      <c r="J100" s="197">
        <f>J186</f>
        <v>0</v>
      </c>
      <c r="L100" s="194"/>
    </row>
    <row r="101" spans="2:12" s="193" customFormat="1" ht="19.899999999999999" customHeight="1" x14ac:dyDescent="0.25">
      <c r="B101" s="194"/>
      <c r="D101" s="195" t="s">
        <v>1563</v>
      </c>
      <c r="E101" s="196"/>
      <c r="F101" s="196"/>
      <c r="G101" s="196"/>
      <c r="H101" s="196"/>
      <c r="I101" s="196"/>
      <c r="J101" s="197">
        <f>J189</f>
        <v>0</v>
      </c>
      <c r="L101" s="194"/>
    </row>
    <row r="102" spans="2:12" s="193" customFormat="1" ht="19.899999999999999" customHeight="1" x14ac:dyDescent="0.25">
      <c r="B102" s="194"/>
      <c r="D102" s="195" t="s">
        <v>1564</v>
      </c>
      <c r="E102" s="196"/>
      <c r="F102" s="196"/>
      <c r="G102" s="196"/>
      <c r="H102" s="196"/>
      <c r="I102" s="196"/>
      <c r="J102" s="197">
        <f>J194</f>
        <v>0</v>
      </c>
      <c r="L102" s="194"/>
    </row>
    <row r="103" spans="2:12" s="188" customFormat="1" ht="24.95" customHeight="1" x14ac:dyDescent="0.25">
      <c r="B103" s="189"/>
      <c r="D103" s="190" t="s">
        <v>1565</v>
      </c>
      <c r="E103" s="191"/>
      <c r="F103" s="191"/>
      <c r="G103" s="191"/>
      <c r="H103" s="191"/>
      <c r="I103" s="191"/>
      <c r="J103" s="192">
        <f>J197</f>
        <v>0</v>
      </c>
      <c r="L103" s="189"/>
    </row>
    <row r="104" spans="2:12" s="193" customFormat="1" ht="19.899999999999999" customHeight="1" x14ac:dyDescent="0.25">
      <c r="B104" s="194"/>
      <c r="D104" s="195" t="s">
        <v>1566</v>
      </c>
      <c r="E104" s="196"/>
      <c r="F104" s="196"/>
      <c r="G104" s="196"/>
      <c r="H104" s="196"/>
      <c r="I104" s="196"/>
      <c r="J104" s="197">
        <f>J198</f>
        <v>0</v>
      </c>
      <c r="L104" s="194"/>
    </row>
    <row r="105" spans="2:12" s="188" customFormat="1" ht="24.95" customHeight="1" x14ac:dyDescent="0.25">
      <c r="B105" s="189"/>
      <c r="D105" s="190" t="s">
        <v>1567</v>
      </c>
      <c r="E105" s="191"/>
      <c r="F105" s="191"/>
      <c r="G105" s="191"/>
      <c r="H105" s="191"/>
      <c r="I105" s="191"/>
      <c r="J105" s="192">
        <f>J270</f>
        <v>0</v>
      </c>
      <c r="L105" s="189"/>
    </row>
    <row r="106" spans="2:12" s="193" customFormat="1" ht="19.899999999999999" customHeight="1" x14ac:dyDescent="0.25">
      <c r="B106" s="194"/>
      <c r="D106" s="195" t="s">
        <v>1568</v>
      </c>
      <c r="E106" s="196"/>
      <c r="F106" s="196"/>
      <c r="G106" s="196"/>
      <c r="H106" s="196"/>
      <c r="I106" s="196"/>
      <c r="J106" s="197">
        <f>J274</f>
        <v>0</v>
      </c>
      <c r="L106" s="194"/>
    </row>
    <row r="107" spans="2:12" s="193" customFormat="1" ht="19.899999999999999" customHeight="1" x14ac:dyDescent="0.25">
      <c r="B107" s="194"/>
      <c r="D107" s="195" t="s">
        <v>1569</v>
      </c>
      <c r="E107" s="196"/>
      <c r="F107" s="196"/>
      <c r="G107" s="196"/>
      <c r="H107" s="196"/>
      <c r="I107" s="196"/>
      <c r="J107" s="197">
        <f>J293</f>
        <v>0</v>
      </c>
      <c r="L107" s="194"/>
    </row>
    <row r="108" spans="2:12" s="193" customFormat="1" ht="19.899999999999999" customHeight="1" x14ac:dyDescent="0.25">
      <c r="B108" s="194"/>
      <c r="D108" s="195" t="s">
        <v>1570</v>
      </c>
      <c r="E108" s="196"/>
      <c r="F108" s="196"/>
      <c r="G108" s="196"/>
      <c r="H108" s="196"/>
      <c r="I108" s="196"/>
      <c r="J108" s="197">
        <f>J297</f>
        <v>0</v>
      </c>
      <c r="L108" s="194"/>
    </row>
    <row r="109" spans="2:12" s="188" customFormat="1" ht="24.95" customHeight="1" x14ac:dyDescent="0.25">
      <c r="B109" s="189"/>
      <c r="D109" s="190" t="s">
        <v>1571</v>
      </c>
      <c r="E109" s="191"/>
      <c r="F109" s="191"/>
      <c r="G109" s="191"/>
      <c r="H109" s="191"/>
      <c r="I109" s="191"/>
      <c r="J109" s="192">
        <f>J308</f>
        <v>0</v>
      </c>
      <c r="L109" s="189"/>
    </row>
    <row r="110" spans="2:12" s="193" customFormat="1" ht="19.899999999999999" customHeight="1" x14ac:dyDescent="0.25">
      <c r="B110" s="194"/>
      <c r="D110" s="195" t="s">
        <v>1572</v>
      </c>
      <c r="E110" s="196"/>
      <c r="F110" s="196"/>
      <c r="G110" s="196"/>
      <c r="H110" s="196"/>
      <c r="I110" s="196"/>
      <c r="J110" s="197">
        <f>J309</f>
        <v>0</v>
      </c>
      <c r="L110" s="194"/>
    </row>
    <row r="111" spans="2:12" s="193" customFormat="1" ht="19.899999999999999" customHeight="1" x14ac:dyDescent="0.25">
      <c r="B111" s="194"/>
      <c r="D111" s="195" t="s">
        <v>1573</v>
      </c>
      <c r="E111" s="196"/>
      <c r="F111" s="196"/>
      <c r="G111" s="196"/>
      <c r="H111" s="196"/>
      <c r="I111" s="196"/>
      <c r="J111" s="197">
        <f>J311</f>
        <v>0</v>
      </c>
      <c r="L111" s="194"/>
    </row>
    <row r="112" spans="2:12" s="193" customFormat="1" ht="19.899999999999999" customHeight="1" x14ac:dyDescent="0.25">
      <c r="B112" s="194"/>
      <c r="D112" s="195" t="s">
        <v>1574</v>
      </c>
      <c r="E112" s="196"/>
      <c r="F112" s="196"/>
      <c r="G112" s="196"/>
      <c r="H112" s="196"/>
      <c r="I112" s="196"/>
      <c r="J112" s="197">
        <f>J313</f>
        <v>0</v>
      </c>
      <c r="L112" s="194"/>
    </row>
    <row r="113" spans="2:12" s="152" customFormat="1" ht="21.75" customHeight="1" x14ac:dyDescent="0.25">
      <c r="B113" s="153"/>
      <c r="L113" s="153"/>
    </row>
    <row r="114" spans="2:12" s="152" customFormat="1" ht="6.95" customHeight="1" x14ac:dyDescent="0.25">
      <c r="B114" s="181"/>
      <c r="C114" s="182"/>
      <c r="D114" s="182"/>
      <c r="E114" s="182"/>
      <c r="F114" s="182"/>
      <c r="G114" s="182"/>
      <c r="H114" s="182"/>
      <c r="I114" s="182"/>
      <c r="J114" s="182"/>
      <c r="K114" s="182"/>
      <c r="L114" s="153"/>
    </row>
    <row r="118" spans="2:12" s="152" customFormat="1" ht="6.95" customHeight="1" x14ac:dyDescent="0.25">
      <c r="B118" s="183"/>
      <c r="C118" s="184"/>
      <c r="D118" s="184"/>
      <c r="E118" s="184"/>
      <c r="F118" s="184"/>
      <c r="G118" s="184"/>
      <c r="H118" s="184"/>
      <c r="I118" s="184"/>
      <c r="J118" s="184"/>
      <c r="K118" s="184"/>
      <c r="L118" s="153"/>
    </row>
    <row r="119" spans="2:12" s="152" customFormat="1" ht="24.95" customHeight="1" x14ac:dyDescent="0.25">
      <c r="B119" s="153"/>
      <c r="C119" s="150" t="s">
        <v>1575</v>
      </c>
      <c r="L119" s="153"/>
    </row>
    <row r="120" spans="2:12" s="152" customFormat="1" ht="6.95" customHeight="1" x14ac:dyDescent="0.25">
      <c r="B120" s="153"/>
      <c r="L120" s="153"/>
    </row>
    <row r="121" spans="2:12" s="152" customFormat="1" ht="12" customHeight="1" x14ac:dyDescent="0.25">
      <c r="B121" s="153"/>
      <c r="C121" s="154" t="s">
        <v>1524</v>
      </c>
      <c r="L121" s="153"/>
    </row>
    <row r="122" spans="2:12" s="152" customFormat="1" ht="30" customHeight="1" x14ac:dyDescent="0.25">
      <c r="B122" s="153"/>
      <c r="E122" s="375" t="str">
        <f>E7</f>
        <v>STAVEBNÍ ÚPRAVY OBJEKTU Č.P. 80 SE ZMĚNOU UŽÍVÁNÍ,CETORAZ PARC.Č. ST.89-byty, kanceláře</v>
      </c>
      <c r="F122" s="376"/>
      <c r="G122" s="376"/>
      <c r="H122" s="376"/>
      <c r="L122" s="153"/>
    </row>
    <row r="123" spans="2:12" s="152" customFormat="1" ht="6.95" customHeight="1" x14ac:dyDescent="0.25">
      <c r="B123" s="153"/>
      <c r="L123" s="153"/>
    </row>
    <row r="124" spans="2:12" s="152" customFormat="1" ht="12" customHeight="1" x14ac:dyDescent="0.25">
      <c r="B124" s="153"/>
      <c r="C124" s="154" t="s">
        <v>1528</v>
      </c>
      <c r="F124" s="155" t="str">
        <f>F10</f>
        <v xml:space="preserve"> </v>
      </c>
      <c r="I124" s="154" t="s">
        <v>15</v>
      </c>
      <c r="J124" s="156" t="str">
        <f>IF(J10="","",J10)</f>
        <v>2. 12. 2024</v>
      </c>
      <c r="L124" s="153"/>
    </row>
    <row r="125" spans="2:12" s="152" customFormat="1" ht="6.95" customHeight="1" x14ac:dyDescent="0.25">
      <c r="B125" s="153"/>
      <c r="L125" s="153"/>
    </row>
    <row r="126" spans="2:12" s="152" customFormat="1" ht="15.2" customHeight="1" x14ac:dyDescent="0.25">
      <c r="B126" s="153"/>
      <c r="C126" s="154" t="s">
        <v>1529</v>
      </c>
      <c r="F126" s="155" t="str">
        <f>E13</f>
        <v xml:space="preserve"> </v>
      </c>
      <c r="I126" s="154" t="s">
        <v>6</v>
      </c>
      <c r="J126" s="160" t="str">
        <f>E19</f>
        <v xml:space="preserve"> </v>
      </c>
      <c r="L126" s="153"/>
    </row>
    <row r="127" spans="2:12" s="152" customFormat="1" ht="15.2" customHeight="1" x14ac:dyDescent="0.25">
      <c r="B127" s="153"/>
      <c r="C127" s="154" t="s">
        <v>1532</v>
      </c>
      <c r="F127" s="155" t="str">
        <f>IF(E16="","",E16)</f>
        <v>Vyplň údaj</v>
      </c>
      <c r="I127" s="154" t="s">
        <v>1533</v>
      </c>
      <c r="J127" s="160" t="str">
        <f>E22</f>
        <v xml:space="preserve"> </v>
      </c>
      <c r="L127" s="153"/>
    </row>
    <row r="128" spans="2:12" s="152" customFormat="1" ht="10.35" customHeight="1" x14ac:dyDescent="0.25">
      <c r="B128" s="153"/>
      <c r="L128" s="153"/>
    </row>
    <row r="129" spans="2:65" s="198" customFormat="1" ht="29.25" customHeight="1" x14ac:dyDescent="0.25">
      <c r="B129" s="199"/>
      <c r="C129" s="200" t="s">
        <v>1576</v>
      </c>
      <c r="D129" s="201" t="s">
        <v>1577</v>
      </c>
      <c r="E129" s="201" t="s">
        <v>83</v>
      </c>
      <c r="F129" s="201" t="s">
        <v>1448</v>
      </c>
      <c r="G129" s="201" t="s">
        <v>191</v>
      </c>
      <c r="H129" s="201" t="s">
        <v>192</v>
      </c>
      <c r="I129" s="201" t="s">
        <v>1578</v>
      </c>
      <c r="J129" s="202" t="s">
        <v>1554</v>
      </c>
      <c r="K129" s="203" t="s">
        <v>1579</v>
      </c>
      <c r="L129" s="199"/>
      <c r="M129" s="204" t="s">
        <v>4</v>
      </c>
      <c r="N129" s="205" t="s">
        <v>1538</v>
      </c>
      <c r="O129" s="205" t="s">
        <v>1580</v>
      </c>
      <c r="P129" s="205" t="s">
        <v>1581</v>
      </c>
      <c r="Q129" s="205" t="s">
        <v>1582</v>
      </c>
      <c r="R129" s="205" t="s">
        <v>1583</v>
      </c>
      <c r="S129" s="205" t="s">
        <v>1584</v>
      </c>
      <c r="T129" s="206" t="s">
        <v>1585</v>
      </c>
    </row>
    <row r="130" spans="2:65" s="152" customFormat="1" ht="22.9" customHeight="1" x14ac:dyDescent="0.25">
      <c r="B130" s="153"/>
      <c r="C130" s="207" t="s">
        <v>1586</v>
      </c>
      <c r="J130" s="208">
        <f>BK130</f>
        <v>0</v>
      </c>
      <c r="L130" s="153"/>
      <c r="M130" s="209"/>
      <c r="N130" s="161"/>
      <c r="O130" s="161"/>
      <c r="P130" s="210">
        <f>P131+P197+P270+P308</f>
        <v>0</v>
      </c>
      <c r="Q130" s="161"/>
      <c r="R130" s="210">
        <f>R131+R197+R270+R308</f>
        <v>0.83025619999999989</v>
      </c>
      <c r="S130" s="161"/>
      <c r="T130" s="211">
        <f>T131+T197+T270+T308</f>
        <v>0</v>
      </c>
      <c r="AT130" s="146" t="s">
        <v>1587</v>
      </c>
      <c r="AU130" s="146" t="s">
        <v>1556</v>
      </c>
      <c r="BK130" s="212">
        <f>BK131+BK197+BK270+BK308</f>
        <v>0</v>
      </c>
    </row>
    <row r="131" spans="2:65" s="213" customFormat="1" ht="25.9" customHeight="1" x14ac:dyDescent="0.2">
      <c r="B131" s="214"/>
      <c r="D131" s="215" t="s">
        <v>1587</v>
      </c>
      <c r="E131" s="216" t="s">
        <v>30</v>
      </c>
      <c r="F131" s="216" t="s">
        <v>1588</v>
      </c>
      <c r="I131" s="217"/>
      <c r="J131" s="218">
        <f>BK131</f>
        <v>0</v>
      </c>
      <c r="L131" s="214"/>
      <c r="M131" s="219"/>
      <c r="P131" s="220">
        <f>P132+P134+P157+P169+P186+P189+P194</f>
        <v>0</v>
      </c>
      <c r="R131" s="220">
        <f>R132+R134+R157+R169+R186+R189+R194</f>
        <v>0.11117</v>
      </c>
      <c r="T131" s="221">
        <f>T132+T134+T157+T169+T186+T189+T194</f>
        <v>0</v>
      </c>
      <c r="AR131" s="215" t="s">
        <v>221</v>
      </c>
      <c r="AT131" s="222" t="s">
        <v>1587</v>
      </c>
      <c r="AU131" s="222" t="s">
        <v>1589</v>
      </c>
      <c r="AY131" s="215" t="s">
        <v>1590</v>
      </c>
      <c r="BK131" s="223">
        <f>BK132+BK134+BK157+BK169+BK186+BK189+BK194</f>
        <v>0</v>
      </c>
    </row>
    <row r="132" spans="2:65" s="213" customFormat="1" ht="22.9" customHeight="1" x14ac:dyDescent="0.2">
      <c r="B132" s="214"/>
      <c r="D132" s="215" t="s">
        <v>1587</v>
      </c>
      <c r="E132" s="224" t="s">
        <v>1591</v>
      </c>
      <c r="F132" s="224" t="s">
        <v>1592</v>
      </c>
      <c r="I132" s="217"/>
      <c r="J132" s="225">
        <f>BK132</f>
        <v>0</v>
      </c>
      <c r="L132" s="214"/>
      <c r="M132" s="219"/>
      <c r="P132" s="220">
        <f>P133</f>
        <v>0</v>
      </c>
      <c r="R132" s="220">
        <f>R133</f>
        <v>0</v>
      </c>
      <c r="T132" s="221">
        <f>T133</f>
        <v>0</v>
      </c>
      <c r="AR132" s="215" t="s">
        <v>221</v>
      </c>
      <c r="AT132" s="222" t="s">
        <v>1587</v>
      </c>
      <c r="AU132" s="222" t="s">
        <v>213</v>
      </c>
      <c r="AY132" s="215" t="s">
        <v>1590</v>
      </c>
      <c r="BK132" s="223">
        <f>BK133</f>
        <v>0</v>
      </c>
    </row>
    <row r="133" spans="2:65" s="152" customFormat="1" ht="24.2" customHeight="1" x14ac:dyDescent="0.25">
      <c r="B133" s="226"/>
      <c r="C133" s="227" t="s">
        <v>213</v>
      </c>
      <c r="D133" s="227" t="s">
        <v>1593</v>
      </c>
      <c r="E133" s="228" t="s">
        <v>99</v>
      </c>
      <c r="F133" s="229" t="s">
        <v>1594</v>
      </c>
      <c r="G133" s="230" t="s">
        <v>1465</v>
      </c>
      <c r="H133" s="231">
        <v>2</v>
      </c>
      <c r="I133" s="232"/>
      <c r="J133" s="233">
        <f>ROUND(I133*H133,2)</f>
        <v>0</v>
      </c>
      <c r="K133" s="234"/>
      <c r="L133" s="235"/>
      <c r="M133" s="236" t="s">
        <v>4</v>
      </c>
      <c r="N133" s="237" t="s">
        <v>1539</v>
      </c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AR133" s="240" t="s">
        <v>316</v>
      </c>
      <c r="AT133" s="240" t="s">
        <v>1593</v>
      </c>
      <c r="AU133" s="240" t="s">
        <v>221</v>
      </c>
      <c r="AY133" s="146" t="s">
        <v>1590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46" t="s">
        <v>213</v>
      </c>
      <c r="BK133" s="241">
        <f>ROUND(I133*H133,2)</f>
        <v>0</v>
      </c>
      <c r="BL133" s="146" t="s">
        <v>93</v>
      </c>
      <c r="BM133" s="240" t="s">
        <v>1595</v>
      </c>
    </row>
    <row r="134" spans="2:65" s="213" customFormat="1" ht="22.9" customHeight="1" x14ac:dyDescent="0.2">
      <c r="B134" s="214"/>
      <c r="D134" s="215" t="s">
        <v>1587</v>
      </c>
      <c r="E134" s="224" t="s">
        <v>1596</v>
      </c>
      <c r="F134" s="224" t="s">
        <v>1597</v>
      </c>
      <c r="I134" s="217"/>
      <c r="J134" s="225">
        <f>BK134</f>
        <v>0</v>
      </c>
      <c r="L134" s="214"/>
      <c r="M134" s="219"/>
      <c r="P134" s="220">
        <f>SUM(P135:P156)</f>
        <v>0</v>
      </c>
      <c r="R134" s="220">
        <f>SUM(R135:R156)</f>
        <v>7.92E-3</v>
      </c>
      <c r="T134" s="221">
        <f>SUM(T135:T156)</f>
        <v>0</v>
      </c>
      <c r="AR134" s="215" t="s">
        <v>221</v>
      </c>
      <c r="AT134" s="222" t="s">
        <v>1587</v>
      </c>
      <c r="AU134" s="222" t="s">
        <v>213</v>
      </c>
      <c r="AY134" s="215" t="s">
        <v>1590</v>
      </c>
      <c r="BK134" s="223">
        <f>SUM(BK135:BK156)</f>
        <v>0</v>
      </c>
    </row>
    <row r="135" spans="2:65" s="152" customFormat="1" ht="16.5" customHeight="1" x14ac:dyDescent="0.25">
      <c r="B135" s="226"/>
      <c r="C135" s="242" t="s">
        <v>221</v>
      </c>
      <c r="D135" s="242" t="s">
        <v>1598</v>
      </c>
      <c r="E135" s="243" t="s">
        <v>1599</v>
      </c>
      <c r="F135" s="244" t="s">
        <v>1600</v>
      </c>
      <c r="G135" s="245" t="s">
        <v>309</v>
      </c>
      <c r="H135" s="246">
        <v>3</v>
      </c>
      <c r="I135" s="247"/>
      <c r="J135" s="248">
        <f t="shared" ref="J135:J156" si="0">ROUND(I135*H135,2)</f>
        <v>0</v>
      </c>
      <c r="K135" s="249"/>
      <c r="L135" s="153"/>
      <c r="M135" s="250" t="s">
        <v>4</v>
      </c>
      <c r="N135" s="251" t="s">
        <v>1539</v>
      </c>
      <c r="P135" s="238">
        <f t="shared" ref="P135:P156" si="1">O135*H135</f>
        <v>0</v>
      </c>
      <c r="Q135" s="238">
        <v>0</v>
      </c>
      <c r="R135" s="238">
        <f t="shared" ref="R135:R156" si="2">Q135*H135</f>
        <v>0</v>
      </c>
      <c r="S135" s="238">
        <v>0</v>
      </c>
      <c r="T135" s="239">
        <f t="shared" ref="T135:T156" si="3">S135*H135</f>
        <v>0</v>
      </c>
      <c r="AR135" s="240" t="s">
        <v>93</v>
      </c>
      <c r="AT135" s="240" t="s">
        <v>1598</v>
      </c>
      <c r="AU135" s="240" t="s">
        <v>221</v>
      </c>
      <c r="AY135" s="146" t="s">
        <v>1590</v>
      </c>
      <c r="BE135" s="241">
        <f t="shared" ref="BE135:BE156" si="4">IF(N135="základní",J135,0)</f>
        <v>0</v>
      </c>
      <c r="BF135" s="241">
        <f t="shared" ref="BF135:BF156" si="5">IF(N135="snížená",J135,0)</f>
        <v>0</v>
      </c>
      <c r="BG135" s="241">
        <f t="shared" ref="BG135:BG156" si="6">IF(N135="zákl. přenesená",J135,0)</f>
        <v>0</v>
      </c>
      <c r="BH135" s="241">
        <f t="shared" ref="BH135:BH156" si="7">IF(N135="sníž. přenesená",J135,0)</f>
        <v>0</v>
      </c>
      <c r="BI135" s="241">
        <f t="shared" ref="BI135:BI156" si="8">IF(N135="nulová",J135,0)</f>
        <v>0</v>
      </c>
      <c r="BJ135" s="146" t="s">
        <v>213</v>
      </c>
      <c r="BK135" s="241">
        <f t="shared" ref="BK135:BK156" si="9">ROUND(I135*H135,2)</f>
        <v>0</v>
      </c>
      <c r="BL135" s="146" t="s">
        <v>93</v>
      </c>
      <c r="BM135" s="240" t="s">
        <v>1601</v>
      </c>
    </row>
    <row r="136" spans="2:65" s="152" customFormat="1" ht="21.75" customHeight="1" x14ac:dyDescent="0.25">
      <c r="B136" s="226"/>
      <c r="C136" s="227" t="s">
        <v>224</v>
      </c>
      <c r="D136" s="227" t="s">
        <v>1593</v>
      </c>
      <c r="E136" s="228" t="s">
        <v>1602</v>
      </c>
      <c r="F136" s="229" t="s">
        <v>1603</v>
      </c>
      <c r="G136" s="230" t="s">
        <v>309</v>
      </c>
      <c r="H136" s="231">
        <v>3</v>
      </c>
      <c r="I136" s="232"/>
      <c r="J136" s="233">
        <f t="shared" si="0"/>
        <v>0</v>
      </c>
      <c r="K136" s="234"/>
      <c r="L136" s="235"/>
      <c r="M136" s="236" t="s">
        <v>4</v>
      </c>
      <c r="N136" s="237" t="s">
        <v>1539</v>
      </c>
      <c r="P136" s="238">
        <f t="shared" si="1"/>
        <v>0</v>
      </c>
      <c r="Q136" s="238">
        <v>4.0000000000000003E-5</v>
      </c>
      <c r="R136" s="238">
        <f t="shared" si="2"/>
        <v>1.2000000000000002E-4</v>
      </c>
      <c r="S136" s="238">
        <v>0</v>
      </c>
      <c r="T136" s="239">
        <f t="shared" si="3"/>
        <v>0</v>
      </c>
      <c r="AR136" s="240" t="s">
        <v>316</v>
      </c>
      <c r="AT136" s="240" t="s">
        <v>1593</v>
      </c>
      <c r="AU136" s="240" t="s">
        <v>221</v>
      </c>
      <c r="AY136" s="146" t="s">
        <v>1590</v>
      </c>
      <c r="BE136" s="241">
        <f t="shared" si="4"/>
        <v>0</v>
      </c>
      <c r="BF136" s="241">
        <f t="shared" si="5"/>
        <v>0</v>
      </c>
      <c r="BG136" s="241">
        <f t="shared" si="6"/>
        <v>0</v>
      </c>
      <c r="BH136" s="241">
        <f t="shared" si="7"/>
        <v>0</v>
      </c>
      <c r="BI136" s="241">
        <f t="shared" si="8"/>
        <v>0</v>
      </c>
      <c r="BJ136" s="146" t="s">
        <v>213</v>
      </c>
      <c r="BK136" s="241">
        <f t="shared" si="9"/>
        <v>0</v>
      </c>
      <c r="BL136" s="146" t="s">
        <v>93</v>
      </c>
      <c r="BM136" s="240" t="s">
        <v>1604</v>
      </c>
    </row>
    <row r="137" spans="2:65" s="152" customFormat="1" ht="24.2" customHeight="1" x14ac:dyDescent="0.25">
      <c r="B137" s="226"/>
      <c r="C137" s="242" t="s">
        <v>227</v>
      </c>
      <c r="D137" s="242" t="s">
        <v>1598</v>
      </c>
      <c r="E137" s="243" t="s">
        <v>1605</v>
      </c>
      <c r="F137" s="244" t="s">
        <v>1606</v>
      </c>
      <c r="G137" s="245" t="s">
        <v>309</v>
      </c>
      <c r="H137" s="246">
        <v>1580</v>
      </c>
      <c r="I137" s="247"/>
      <c r="J137" s="248">
        <f t="shared" si="0"/>
        <v>0</v>
      </c>
      <c r="K137" s="249"/>
      <c r="L137" s="153"/>
      <c r="M137" s="250" t="s">
        <v>4</v>
      </c>
      <c r="N137" s="251" t="s">
        <v>1539</v>
      </c>
      <c r="P137" s="238">
        <f t="shared" si="1"/>
        <v>0</v>
      </c>
      <c r="Q137" s="238">
        <v>0</v>
      </c>
      <c r="R137" s="238">
        <f t="shared" si="2"/>
        <v>0</v>
      </c>
      <c r="S137" s="238">
        <v>0</v>
      </c>
      <c r="T137" s="239">
        <f t="shared" si="3"/>
        <v>0</v>
      </c>
      <c r="AR137" s="240" t="s">
        <v>93</v>
      </c>
      <c r="AT137" s="240" t="s">
        <v>1598</v>
      </c>
      <c r="AU137" s="240" t="s">
        <v>221</v>
      </c>
      <c r="AY137" s="146" t="s">
        <v>1590</v>
      </c>
      <c r="BE137" s="241">
        <f t="shared" si="4"/>
        <v>0</v>
      </c>
      <c r="BF137" s="241">
        <f t="shared" si="5"/>
        <v>0</v>
      </c>
      <c r="BG137" s="241">
        <f t="shared" si="6"/>
        <v>0</v>
      </c>
      <c r="BH137" s="241">
        <f t="shared" si="7"/>
        <v>0</v>
      </c>
      <c r="BI137" s="241">
        <f t="shared" si="8"/>
        <v>0</v>
      </c>
      <c r="BJ137" s="146" t="s">
        <v>213</v>
      </c>
      <c r="BK137" s="241">
        <f t="shared" si="9"/>
        <v>0</v>
      </c>
      <c r="BL137" s="146" t="s">
        <v>93</v>
      </c>
      <c r="BM137" s="240" t="s">
        <v>1607</v>
      </c>
    </row>
    <row r="138" spans="2:65" s="152" customFormat="1" ht="24.2" customHeight="1" x14ac:dyDescent="0.25">
      <c r="B138" s="226"/>
      <c r="C138" s="242" t="s">
        <v>231</v>
      </c>
      <c r="D138" s="242" t="s">
        <v>1598</v>
      </c>
      <c r="E138" s="243" t="s">
        <v>1608</v>
      </c>
      <c r="F138" s="244" t="s">
        <v>1609</v>
      </c>
      <c r="G138" s="245" t="s">
        <v>309</v>
      </c>
      <c r="H138" s="246">
        <v>10</v>
      </c>
      <c r="I138" s="247"/>
      <c r="J138" s="248">
        <f t="shared" si="0"/>
        <v>0</v>
      </c>
      <c r="K138" s="249"/>
      <c r="L138" s="153"/>
      <c r="M138" s="250" t="s">
        <v>4</v>
      </c>
      <c r="N138" s="251" t="s">
        <v>1539</v>
      </c>
      <c r="P138" s="238">
        <f t="shared" si="1"/>
        <v>0</v>
      </c>
      <c r="Q138" s="238">
        <v>0</v>
      </c>
      <c r="R138" s="238">
        <f t="shared" si="2"/>
        <v>0</v>
      </c>
      <c r="S138" s="238">
        <v>0</v>
      </c>
      <c r="T138" s="239">
        <f t="shared" si="3"/>
        <v>0</v>
      </c>
      <c r="AR138" s="240" t="s">
        <v>93</v>
      </c>
      <c r="AT138" s="240" t="s">
        <v>1598</v>
      </c>
      <c r="AU138" s="240" t="s">
        <v>221</v>
      </c>
      <c r="AY138" s="146" t="s">
        <v>1590</v>
      </c>
      <c r="BE138" s="241">
        <f t="shared" si="4"/>
        <v>0</v>
      </c>
      <c r="BF138" s="241">
        <f t="shared" si="5"/>
        <v>0</v>
      </c>
      <c r="BG138" s="241">
        <f t="shared" si="6"/>
        <v>0</v>
      </c>
      <c r="BH138" s="241">
        <f t="shared" si="7"/>
        <v>0</v>
      </c>
      <c r="BI138" s="241">
        <f t="shared" si="8"/>
        <v>0</v>
      </c>
      <c r="BJ138" s="146" t="s">
        <v>213</v>
      </c>
      <c r="BK138" s="241">
        <f t="shared" si="9"/>
        <v>0</v>
      </c>
      <c r="BL138" s="146" t="s">
        <v>93</v>
      </c>
      <c r="BM138" s="240" t="s">
        <v>1610</v>
      </c>
    </row>
    <row r="139" spans="2:65" s="152" customFormat="1" ht="24.2" customHeight="1" x14ac:dyDescent="0.25">
      <c r="B139" s="226"/>
      <c r="C139" s="242" t="s">
        <v>234</v>
      </c>
      <c r="D139" s="242" t="s">
        <v>1598</v>
      </c>
      <c r="E139" s="243" t="s">
        <v>1611</v>
      </c>
      <c r="F139" s="244" t="s">
        <v>1612</v>
      </c>
      <c r="G139" s="245" t="s">
        <v>309</v>
      </c>
      <c r="H139" s="246">
        <v>24</v>
      </c>
      <c r="I139" s="247"/>
      <c r="J139" s="248">
        <f t="shared" si="0"/>
        <v>0</v>
      </c>
      <c r="K139" s="249"/>
      <c r="L139" s="153"/>
      <c r="M139" s="250" t="s">
        <v>4</v>
      </c>
      <c r="N139" s="251" t="s">
        <v>1539</v>
      </c>
      <c r="P139" s="238">
        <f t="shared" si="1"/>
        <v>0</v>
      </c>
      <c r="Q139" s="238">
        <v>0</v>
      </c>
      <c r="R139" s="238">
        <f t="shared" si="2"/>
        <v>0</v>
      </c>
      <c r="S139" s="238">
        <v>0</v>
      </c>
      <c r="T139" s="239">
        <f t="shared" si="3"/>
        <v>0</v>
      </c>
      <c r="AR139" s="240" t="s">
        <v>93</v>
      </c>
      <c r="AT139" s="240" t="s">
        <v>1598</v>
      </c>
      <c r="AU139" s="240" t="s">
        <v>221</v>
      </c>
      <c r="AY139" s="146" t="s">
        <v>1590</v>
      </c>
      <c r="BE139" s="241">
        <f t="shared" si="4"/>
        <v>0</v>
      </c>
      <c r="BF139" s="241">
        <f t="shared" si="5"/>
        <v>0</v>
      </c>
      <c r="BG139" s="241">
        <f t="shared" si="6"/>
        <v>0</v>
      </c>
      <c r="BH139" s="241">
        <f t="shared" si="7"/>
        <v>0</v>
      </c>
      <c r="BI139" s="241">
        <f t="shared" si="8"/>
        <v>0</v>
      </c>
      <c r="BJ139" s="146" t="s">
        <v>213</v>
      </c>
      <c r="BK139" s="241">
        <f t="shared" si="9"/>
        <v>0</v>
      </c>
      <c r="BL139" s="146" t="s">
        <v>93</v>
      </c>
      <c r="BM139" s="240" t="s">
        <v>1613</v>
      </c>
    </row>
    <row r="140" spans="2:65" s="152" customFormat="1" ht="24.2" customHeight="1" x14ac:dyDescent="0.25">
      <c r="B140" s="226"/>
      <c r="C140" s="242" t="s">
        <v>237</v>
      </c>
      <c r="D140" s="242" t="s">
        <v>1598</v>
      </c>
      <c r="E140" s="243" t="s">
        <v>1614</v>
      </c>
      <c r="F140" s="244" t="s">
        <v>1615</v>
      </c>
      <c r="G140" s="245" t="s">
        <v>309</v>
      </c>
      <c r="H140" s="246">
        <v>8</v>
      </c>
      <c r="I140" s="247"/>
      <c r="J140" s="248">
        <f t="shared" si="0"/>
        <v>0</v>
      </c>
      <c r="K140" s="249"/>
      <c r="L140" s="153"/>
      <c r="M140" s="250" t="s">
        <v>4</v>
      </c>
      <c r="N140" s="251" t="s">
        <v>1539</v>
      </c>
      <c r="P140" s="238">
        <f t="shared" si="1"/>
        <v>0</v>
      </c>
      <c r="Q140" s="238">
        <v>0</v>
      </c>
      <c r="R140" s="238">
        <f t="shared" si="2"/>
        <v>0</v>
      </c>
      <c r="S140" s="238">
        <v>0</v>
      </c>
      <c r="T140" s="239">
        <f t="shared" si="3"/>
        <v>0</v>
      </c>
      <c r="AR140" s="240" t="s">
        <v>93</v>
      </c>
      <c r="AT140" s="240" t="s">
        <v>1598</v>
      </c>
      <c r="AU140" s="240" t="s">
        <v>221</v>
      </c>
      <c r="AY140" s="146" t="s">
        <v>1590</v>
      </c>
      <c r="BE140" s="241">
        <f t="shared" si="4"/>
        <v>0</v>
      </c>
      <c r="BF140" s="241">
        <f t="shared" si="5"/>
        <v>0</v>
      </c>
      <c r="BG140" s="241">
        <f t="shared" si="6"/>
        <v>0</v>
      </c>
      <c r="BH140" s="241">
        <f t="shared" si="7"/>
        <v>0</v>
      </c>
      <c r="BI140" s="241">
        <f t="shared" si="8"/>
        <v>0</v>
      </c>
      <c r="BJ140" s="146" t="s">
        <v>213</v>
      </c>
      <c r="BK140" s="241">
        <f t="shared" si="9"/>
        <v>0</v>
      </c>
      <c r="BL140" s="146" t="s">
        <v>93</v>
      </c>
      <c r="BM140" s="240" t="s">
        <v>1616</v>
      </c>
    </row>
    <row r="141" spans="2:65" s="152" customFormat="1" ht="24.2" customHeight="1" x14ac:dyDescent="0.25">
      <c r="B141" s="226"/>
      <c r="C141" s="242" t="s">
        <v>241</v>
      </c>
      <c r="D141" s="242" t="s">
        <v>1598</v>
      </c>
      <c r="E141" s="243" t="s">
        <v>1617</v>
      </c>
      <c r="F141" s="244" t="s">
        <v>1618</v>
      </c>
      <c r="G141" s="245" t="s">
        <v>309</v>
      </c>
      <c r="H141" s="246">
        <v>11</v>
      </c>
      <c r="I141" s="247"/>
      <c r="J141" s="248">
        <f t="shared" si="0"/>
        <v>0</v>
      </c>
      <c r="K141" s="249"/>
      <c r="L141" s="153"/>
      <c r="M141" s="250" t="s">
        <v>4</v>
      </c>
      <c r="N141" s="251" t="s">
        <v>1539</v>
      </c>
      <c r="P141" s="238">
        <f t="shared" si="1"/>
        <v>0</v>
      </c>
      <c r="Q141" s="238">
        <v>0</v>
      </c>
      <c r="R141" s="238">
        <f t="shared" si="2"/>
        <v>0</v>
      </c>
      <c r="S141" s="238">
        <v>0</v>
      </c>
      <c r="T141" s="239">
        <f t="shared" si="3"/>
        <v>0</v>
      </c>
      <c r="AR141" s="240" t="s">
        <v>93</v>
      </c>
      <c r="AT141" s="240" t="s">
        <v>1598</v>
      </c>
      <c r="AU141" s="240" t="s">
        <v>221</v>
      </c>
      <c r="AY141" s="146" t="s">
        <v>1590</v>
      </c>
      <c r="BE141" s="241">
        <f t="shared" si="4"/>
        <v>0</v>
      </c>
      <c r="BF141" s="241">
        <f t="shared" si="5"/>
        <v>0</v>
      </c>
      <c r="BG141" s="241">
        <f t="shared" si="6"/>
        <v>0</v>
      </c>
      <c r="BH141" s="241">
        <f t="shared" si="7"/>
        <v>0</v>
      </c>
      <c r="BI141" s="241">
        <f t="shared" si="8"/>
        <v>0</v>
      </c>
      <c r="BJ141" s="146" t="s">
        <v>213</v>
      </c>
      <c r="BK141" s="241">
        <f t="shared" si="9"/>
        <v>0</v>
      </c>
      <c r="BL141" s="146" t="s">
        <v>93</v>
      </c>
      <c r="BM141" s="240" t="s">
        <v>1619</v>
      </c>
    </row>
    <row r="142" spans="2:65" s="152" customFormat="1" ht="37.9" customHeight="1" x14ac:dyDescent="0.25">
      <c r="B142" s="226"/>
      <c r="C142" s="227" t="s">
        <v>244</v>
      </c>
      <c r="D142" s="227" t="s">
        <v>1593</v>
      </c>
      <c r="E142" s="228" t="s">
        <v>1620</v>
      </c>
      <c r="F142" s="229" t="s">
        <v>1621</v>
      </c>
      <c r="G142" s="230" t="s">
        <v>1465</v>
      </c>
      <c r="H142" s="231">
        <v>11</v>
      </c>
      <c r="I142" s="232"/>
      <c r="J142" s="233">
        <f t="shared" si="0"/>
        <v>0</v>
      </c>
      <c r="K142" s="234"/>
      <c r="L142" s="235"/>
      <c r="M142" s="236" t="s">
        <v>4</v>
      </c>
      <c r="N142" s="237" t="s">
        <v>1539</v>
      </c>
      <c r="P142" s="238">
        <f t="shared" si="1"/>
        <v>0</v>
      </c>
      <c r="Q142" s="238">
        <v>0</v>
      </c>
      <c r="R142" s="238">
        <f t="shared" si="2"/>
        <v>0</v>
      </c>
      <c r="S142" s="238">
        <v>0</v>
      </c>
      <c r="T142" s="239">
        <f t="shared" si="3"/>
        <v>0</v>
      </c>
      <c r="AR142" s="240" t="s">
        <v>316</v>
      </c>
      <c r="AT142" s="240" t="s">
        <v>1593</v>
      </c>
      <c r="AU142" s="240" t="s">
        <v>221</v>
      </c>
      <c r="AY142" s="146" t="s">
        <v>1590</v>
      </c>
      <c r="BE142" s="241">
        <f t="shared" si="4"/>
        <v>0</v>
      </c>
      <c r="BF142" s="241">
        <f t="shared" si="5"/>
        <v>0</v>
      </c>
      <c r="BG142" s="241">
        <f t="shared" si="6"/>
        <v>0</v>
      </c>
      <c r="BH142" s="241">
        <f t="shared" si="7"/>
        <v>0</v>
      </c>
      <c r="BI142" s="241">
        <f t="shared" si="8"/>
        <v>0</v>
      </c>
      <c r="BJ142" s="146" t="s">
        <v>213</v>
      </c>
      <c r="BK142" s="241">
        <f t="shared" si="9"/>
        <v>0</v>
      </c>
      <c r="BL142" s="146" t="s">
        <v>93</v>
      </c>
      <c r="BM142" s="240" t="s">
        <v>1622</v>
      </c>
    </row>
    <row r="143" spans="2:65" s="152" customFormat="1" ht="24.2" customHeight="1" x14ac:dyDescent="0.25">
      <c r="B143" s="226"/>
      <c r="C143" s="242" t="s">
        <v>248</v>
      </c>
      <c r="D143" s="242" t="s">
        <v>1598</v>
      </c>
      <c r="E143" s="243" t="s">
        <v>1617</v>
      </c>
      <c r="F143" s="244" t="s">
        <v>1618</v>
      </c>
      <c r="G143" s="245" t="s">
        <v>309</v>
      </c>
      <c r="H143" s="246">
        <v>27</v>
      </c>
      <c r="I143" s="247"/>
      <c r="J143" s="248">
        <f t="shared" si="0"/>
        <v>0</v>
      </c>
      <c r="K143" s="249"/>
      <c r="L143" s="153"/>
      <c r="M143" s="250" t="s">
        <v>4</v>
      </c>
      <c r="N143" s="251" t="s">
        <v>1539</v>
      </c>
      <c r="P143" s="238">
        <f t="shared" si="1"/>
        <v>0</v>
      </c>
      <c r="Q143" s="238">
        <v>0</v>
      </c>
      <c r="R143" s="238">
        <f t="shared" si="2"/>
        <v>0</v>
      </c>
      <c r="S143" s="238">
        <v>0</v>
      </c>
      <c r="T143" s="239">
        <f t="shared" si="3"/>
        <v>0</v>
      </c>
      <c r="AR143" s="240" t="s">
        <v>93</v>
      </c>
      <c r="AT143" s="240" t="s">
        <v>1598</v>
      </c>
      <c r="AU143" s="240" t="s">
        <v>221</v>
      </c>
      <c r="AY143" s="146" t="s">
        <v>1590</v>
      </c>
      <c r="BE143" s="241">
        <f t="shared" si="4"/>
        <v>0</v>
      </c>
      <c r="BF143" s="241">
        <f t="shared" si="5"/>
        <v>0</v>
      </c>
      <c r="BG143" s="241">
        <f t="shared" si="6"/>
        <v>0</v>
      </c>
      <c r="BH143" s="241">
        <f t="shared" si="7"/>
        <v>0</v>
      </c>
      <c r="BI143" s="241">
        <f t="shared" si="8"/>
        <v>0</v>
      </c>
      <c r="BJ143" s="146" t="s">
        <v>213</v>
      </c>
      <c r="BK143" s="241">
        <f t="shared" si="9"/>
        <v>0</v>
      </c>
      <c r="BL143" s="146" t="s">
        <v>93</v>
      </c>
      <c r="BM143" s="240" t="s">
        <v>1623</v>
      </c>
    </row>
    <row r="144" spans="2:65" s="152" customFormat="1" ht="33" customHeight="1" x14ac:dyDescent="0.25">
      <c r="B144" s="226"/>
      <c r="C144" s="227" t="s">
        <v>254</v>
      </c>
      <c r="D144" s="227" t="s">
        <v>1593</v>
      </c>
      <c r="E144" s="228" t="s">
        <v>1624</v>
      </c>
      <c r="F144" s="229" t="s">
        <v>1625</v>
      </c>
      <c r="G144" s="230" t="s">
        <v>1465</v>
      </c>
      <c r="H144" s="231">
        <v>27</v>
      </c>
      <c r="I144" s="232"/>
      <c r="J144" s="233">
        <f t="shared" si="0"/>
        <v>0</v>
      </c>
      <c r="K144" s="234"/>
      <c r="L144" s="235"/>
      <c r="M144" s="236" t="s">
        <v>4</v>
      </c>
      <c r="N144" s="237" t="s">
        <v>1539</v>
      </c>
      <c r="P144" s="238">
        <f t="shared" si="1"/>
        <v>0</v>
      </c>
      <c r="Q144" s="238">
        <v>0</v>
      </c>
      <c r="R144" s="238">
        <f t="shared" si="2"/>
        <v>0</v>
      </c>
      <c r="S144" s="238">
        <v>0</v>
      </c>
      <c r="T144" s="239">
        <f t="shared" si="3"/>
        <v>0</v>
      </c>
      <c r="AR144" s="240" t="s">
        <v>316</v>
      </c>
      <c r="AT144" s="240" t="s">
        <v>1593</v>
      </c>
      <c r="AU144" s="240" t="s">
        <v>221</v>
      </c>
      <c r="AY144" s="146" t="s">
        <v>1590</v>
      </c>
      <c r="BE144" s="241">
        <f t="shared" si="4"/>
        <v>0</v>
      </c>
      <c r="BF144" s="241">
        <f t="shared" si="5"/>
        <v>0</v>
      </c>
      <c r="BG144" s="241">
        <f t="shared" si="6"/>
        <v>0</v>
      </c>
      <c r="BH144" s="241">
        <f t="shared" si="7"/>
        <v>0</v>
      </c>
      <c r="BI144" s="241">
        <f t="shared" si="8"/>
        <v>0</v>
      </c>
      <c r="BJ144" s="146" t="s">
        <v>213</v>
      </c>
      <c r="BK144" s="241">
        <f t="shared" si="9"/>
        <v>0</v>
      </c>
      <c r="BL144" s="146" t="s">
        <v>93</v>
      </c>
      <c r="BM144" s="240" t="s">
        <v>1626</v>
      </c>
    </row>
    <row r="145" spans="2:65" s="152" customFormat="1" ht="24.2" customHeight="1" x14ac:dyDescent="0.25">
      <c r="B145" s="226"/>
      <c r="C145" s="242" t="s">
        <v>258</v>
      </c>
      <c r="D145" s="242" t="s">
        <v>1598</v>
      </c>
      <c r="E145" s="243" t="s">
        <v>1627</v>
      </c>
      <c r="F145" s="244" t="s">
        <v>1618</v>
      </c>
      <c r="G145" s="245" t="s">
        <v>309</v>
      </c>
      <c r="H145" s="246">
        <v>3</v>
      </c>
      <c r="I145" s="247"/>
      <c r="J145" s="248">
        <f t="shared" si="0"/>
        <v>0</v>
      </c>
      <c r="K145" s="249"/>
      <c r="L145" s="153"/>
      <c r="M145" s="250" t="s">
        <v>4</v>
      </c>
      <c r="N145" s="251" t="s">
        <v>1539</v>
      </c>
      <c r="P145" s="238">
        <f t="shared" si="1"/>
        <v>0</v>
      </c>
      <c r="Q145" s="238">
        <v>0</v>
      </c>
      <c r="R145" s="238">
        <f t="shared" si="2"/>
        <v>0</v>
      </c>
      <c r="S145" s="238">
        <v>0</v>
      </c>
      <c r="T145" s="239">
        <f t="shared" si="3"/>
        <v>0</v>
      </c>
      <c r="AR145" s="240" t="s">
        <v>93</v>
      </c>
      <c r="AT145" s="240" t="s">
        <v>1598</v>
      </c>
      <c r="AU145" s="240" t="s">
        <v>221</v>
      </c>
      <c r="AY145" s="146" t="s">
        <v>1590</v>
      </c>
      <c r="BE145" s="241">
        <f t="shared" si="4"/>
        <v>0</v>
      </c>
      <c r="BF145" s="241">
        <f t="shared" si="5"/>
        <v>0</v>
      </c>
      <c r="BG145" s="241">
        <f t="shared" si="6"/>
        <v>0</v>
      </c>
      <c r="BH145" s="241">
        <f t="shared" si="7"/>
        <v>0</v>
      </c>
      <c r="BI145" s="241">
        <f t="shared" si="8"/>
        <v>0</v>
      </c>
      <c r="BJ145" s="146" t="s">
        <v>213</v>
      </c>
      <c r="BK145" s="241">
        <f t="shared" si="9"/>
        <v>0</v>
      </c>
      <c r="BL145" s="146" t="s">
        <v>93</v>
      </c>
      <c r="BM145" s="240" t="s">
        <v>1628</v>
      </c>
    </row>
    <row r="146" spans="2:65" s="152" customFormat="1" ht="37.9" customHeight="1" x14ac:dyDescent="0.25">
      <c r="B146" s="226"/>
      <c r="C146" s="227" t="s">
        <v>90</v>
      </c>
      <c r="D146" s="227" t="s">
        <v>1593</v>
      </c>
      <c r="E146" s="228" t="s">
        <v>1629</v>
      </c>
      <c r="F146" s="229" t="s">
        <v>1630</v>
      </c>
      <c r="G146" s="230" t="s">
        <v>1631</v>
      </c>
      <c r="H146" s="231">
        <v>3</v>
      </c>
      <c r="I146" s="232"/>
      <c r="J146" s="233">
        <f t="shared" si="0"/>
        <v>0</v>
      </c>
      <c r="K146" s="234"/>
      <c r="L146" s="235"/>
      <c r="M146" s="236" t="s">
        <v>4</v>
      </c>
      <c r="N146" s="237" t="s">
        <v>1539</v>
      </c>
      <c r="P146" s="238">
        <f t="shared" si="1"/>
        <v>0</v>
      </c>
      <c r="Q146" s="238">
        <v>0</v>
      </c>
      <c r="R146" s="238">
        <f t="shared" si="2"/>
        <v>0</v>
      </c>
      <c r="S146" s="238">
        <v>0</v>
      </c>
      <c r="T146" s="239">
        <f t="shared" si="3"/>
        <v>0</v>
      </c>
      <c r="AR146" s="240" t="s">
        <v>316</v>
      </c>
      <c r="AT146" s="240" t="s">
        <v>1593</v>
      </c>
      <c r="AU146" s="240" t="s">
        <v>221</v>
      </c>
      <c r="AY146" s="146" t="s">
        <v>1590</v>
      </c>
      <c r="BE146" s="241">
        <f t="shared" si="4"/>
        <v>0</v>
      </c>
      <c r="BF146" s="241">
        <f t="shared" si="5"/>
        <v>0</v>
      </c>
      <c r="BG146" s="241">
        <f t="shared" si="6"/>
        <v>0</v>
      </c>
      <c r="BH146" s="241">
        <f t="shared" si="7"/>
        <v>0</v>
      </c>
      <c r="BI146" s="241">
        <f t="shared" si="8"/>
        <v>0</v>
      </c>
      <c r="BJ146" s="146" t="s">
        <v>213</v>
      </c>
      <c r="BK146" s="241">
        <f t="shared" si="9"/>
        <v>0</v>
      </c>
      <c r="BL146" s="146" t="s">
        <v>93</v>
      </c>
      <c r="BM146" s="240" t="s">
        <v>1632</v>
      </c>
    </row>
    <row r="147" spans="2:65" s="152" customFormat="1" ht="24.2" customHeight="1" x14ac:dyDescent="0.25">
      <c r="B147" s="226"/>
      <c r="C147" s="242" t="s">
        <v>263</v>
      </c>
      <c r="D147" s="242" t="s">
        <v>1598</v>
      </c>
      <c r="E147" s="243" t="s">
        <v>1633</v>
      </c>
      <c r="F147" s="244" t="s">
        <v>1618</v>
      </c>
      <c r="G147" s="245" t="s">
        <v>309</v>
      </c>
      <c r="H147" s="246">
        <v>4</v>
      </c>
      <c r="I147" s="247"/>
      <c r="J147" s="248">
        <f t="shared" si="0"/>
        <v>0</v>
      </c>
      <c r="K147" s="249"/>
      <c r="L147" s="153"/>
      <c r="M147" s="250" t="s">
        <v>4</v>
      </c>
      <c r="N147" s="251" t="s">
        <v>1539</v>
      </c>
      <c r="P147" s="238">
        <f t="shared" si="1"/>
        <v>0</v>
      </c>
      <c r="Q147" s="238">
        <v>0</v>
      </c>
      <c r="R147" s="238">
        <f t="shared" si="2"/>
        <v>0</v>
      </c>
      <c r="S147" s="238">
        <v>0</v>
      </c>
      <c r="T147" s="239">
        <f t="shared" si="3"/>
        <v>0</v>
      </c>
      <c r="AR147" s="240" t="s">
        <v>93</v>
      </c>
      <c r="AT147" s="240" t="s">
        <v>1598</v>
      </c>
      <c r="AU147" s="240" t="s">
        <v>221</v>
      </c>
      <c r="AY147" s="146" t="s">
        <v>1590</v>
      </c>
      <c r="BE147" s="241">
        <f t="shared" si="4"/>
        <v>0</v>
      </c>
      <c r="BF147" s="241">
        <f t="shared" si="5"/>
        <v>0</v>
      </c>
      <c r="BG147" s="241">
        <f t="shared" si="6"/>
        <v>0</v>
      </c>
      <c r="BH147" s="241">
        <f t="shared" si="7"/>
        <v>0</v>
      </c>
      <c r="BI147" s="241">
        <f t="shared" si="8"/>
        <v>0</v>
      </c>
      <c r="BJ147" s="146" t="s">
        <v>213</v>
      </c>
      <c r="BK147" s="241">
        <f t="shared" si="9"/>
        <v>0</v>
      </c>
      <c r="BL147" s="146" t="s">
        <v>93</v>
      </c>
      <c r="BM147" s="240" t="s">
        <v>1634</v>
      </c>
    </row>
    <row r="148" spans="2:65" s="152" customFormat="1" ht="33" customHeight="1" x14ac:dyDescent="0.25">
      <c r="B148" s="226"/>
      <c r="C148" s="227" t="s">
        <v>267</v>
      </c>
      <c r="D148" s="227" t="s">
        <v>1593</v>
      </c>
      <c r="E148" s="228" t="s">
        <v>1635</v>
      </c>
      <c r="F148" s="229" t="s">
        <v>1636</v>
      </c>
      <c r="G148" s="230" t="s">
        <v>1631</v>
      </c>
      <c r="H148" s="231">
        <v>4</v>
      </c>
      <c r="I148" s="232"/>
      <c r="J148" s="233">
        <f t="shared" si="0"/>
        <v>0</v>
      </c>
      <c r="K148" s="234"/>
      <c r="L148" s="235"/>
      <c r="M148" s="236" t="s">
        <v>4</v>
      </c>
      <c r="N148" s="237" t="s">
        <v>1539</v>
      </c>
      <c r="P148" s="238">
        <f t="shared" si="1"/>
        <v>0</v>
      </c>
      <c r="Q148" s="238">
        <v>0</v>
      </c>
      <c r="R148" s="238">
        <f t="shared" si="2"/>
        <v>0</v>
      </c>
      <c r="S148" s="238">
        <v>0</v>
      </c>
      <c r="T148" s="239">
        <f t="shared" si="3"/>
        <v>0</v>
      </c>
      <c r="AR148" s="240" t="s">
        <v>316</v>
      </c>
      <c r="AT148" s="240" t="s">
        <v>1593</v>
      </c>
      <c r="AU148" s="240" t="s">
        <v>221</v>
      </c>
      <c r="AY148" s="146" t="s">
        <v>1590</v>
      </c>
      <c r="BE148" s="241">
        <f t="shared" si="4"/>
        <v>0</v>
      </c>
      <c r="BF148" s="241">
        <f t="shared" si="5"/>
        <v>0</v>
      </c>
      <c r="BG148" s="241">
        <f t="shared" si="6"/>
        <v>0</v>
      </c>
      <c r="BH148" s="241">
        <f t="shared" si="7"/>
        <v>0</v>
      </c>
      <c r="BI148" s="241">
        <f t="shared" si="8"/>
        <v>0</v>
      </c>
      <c r="BJ148" s="146" t="s">
        <v>213</v>
      </c>
      <c r="BK148" s="241">
        <f t="shared" si="9"/>
        <v>0</v>
      </c>
      <c r="BL148" s="146" t="s">
        <v>93</v>
      </c>
      <c r="BM148" s="240" t="s">
        <v>1637</v>
      </c>
    </row>
    <row r="149" spans="2:65" s="152" customFormat="1" ht="24.2" customHeight="1" x14ac:dyDescent="0.25">
      <c r="B149" s="226"/>
      <c r="C149" s="242" t="s">
        <v>93</v>
      </c>
      <c r="D149" s="242" t="s">
        <v>1598</v>
      </c>
      <c r="E149" s="243" t="s">
        <v>1638</v>
      </c>
      <c r="F149" s="244" t="s">
        <v>1618</v>
      </c>
      <c r="G149" s="245" t="s">
        <v>309</v>
      </c>
      <c r="H149" s="246">
        <v>1</v>
      </c>
      <c r="I149" s="247"/>
      <c r="J149" s="248">
        <f t="shared" si="0"/>
        <v>0</v>
      </c>
      <c r="K149" s="249"/>
      <c r="L149" s="153"/>
      <c r="M149" s="250" t="s">
        <v>4</v>
      </c>
      <c r="N149" s="251" t="s">
        <v>1539</v>
      </c>
      <c r="P149" s="238">
        <f t="shared" si="1"/>
        <v>0</v>
      </c>
      <c r="Q149" s="238">
        <v>0</v>
      </c>
      <c r="R149" s="238">
        <f t="shared" si="2"/>
        <v>0</v>
      </c>
      <c r="S149" s="238">
        <v>0</v>
      </c>
      <c r="T149" s="239">
        <f t="shared" si="3"/>
        <v>0</v>
      </c>
      <c r="AR149" s="240" t="s">
        <v>93</v>
      </c>
      <c r="AT149" s="240" t="s">
        <v>1598</v>
      </c>
      <c r="AU149" s="240" t="s">
        <v>221</v>
      </c>
      <c r="AY149" s="146" t="s">
        <v>1590</v>
      </c>
      <c r="BE149" s="241">
        <f t="shared" si="4"/>
        <v>0</v>
      </c>
      <c r="BF149" s="241">
        <f t="shared" si="5"/>
        <v>0</v>
      </c>
      <c r="BG149" s="241">
        <f t="shared" si="6"/>
        <v>0</v>
      </c>
      <c r="BH149" s="241">
        <f t="shared" si="7"/>
        <v>0</v>
      </c>
      <c r="BI149" s="241">
        <f t="shared" si="8"/>
        <v>0</v>
      </c>
      <c r="BJ149" s="146" t="s">
        <v>213</v>
      </c>
      <c r="BK149" s="241">
        <f t="shared" si="9"/>
        <v>0</v>
      </c>
      <c r="BL149" s="146" t="s">
        <v>93</v>
      </c>
      <c r="BM149" s="240" t="s">
        <v>1639</v>
      </c>
    </row>
    <row r="150" spans="2:65" s="152" customFormat="1" ht="37.9" customHeight="1" x14ac:dyDescent="0.25">
      <c r="B150" s="226"/>
      <c r="C150" s="227" t="s">
        <v>95</v>
      </c>
      <c r="D150" s="227" t="s">
        <v>1593</v>
      </c>
      <c r="E150" s="228" t="s">
        <v>1640</v>
      </c>
      <c r="F150" s="229" t="s">
        <v>1641</v>
      </c>
      <c r="G150" s="230" t="s">
        <v>1631</v>
      </c>
      <c r="H150" s="231">
        <v>1</v>
      </c>
      <c r="I150" s="232"/>
      <c r="J150" s="233">
        <f t="shared" si="0"/>
        <v>0</v>
      </c>
      <c r="K150" s="234"/>
      <c r="L150" s="235"/>
      <c r="M150" s="236" t="s">
        <v>4</v>
      </c>
      <c r="N150" s="237" t="s">
        <v>1539</v>
      </c>
      <c r="P150" s="238">
        <f t="shared" si="1"/>
        <v>0</v>
      </c>
      <c r="Q150" s="238">
        <v>0</v>
      </c>
      <c r="R150" s="238">
        <f t="shared" si="2"/>
        <v>0</v>
      </c>
      <c r="S150" s="238">
        <v>0</v>
      </c>
      <c r="T150" s="239">
        <f t="shared" si="3"/>
        <v>0</v>
      </c>
      <c r="AR150" s="240" t="s">
        <v>316</v>
      </c>
      <c r="AT150" s="240" t="s">
        <v>1593</v>
      </c>
      <c r="AU150" s="240" t="s">
        <v>221</v>
      </c>
      <c r="AY150" s="146" t="s">
        <v>1590</v>
      </c>
      <c r="BE150" s="241">
        <f t="shared" si="4"/>
        <v>0</v>
      </c>
      <c r="BF150" s="241">
        <f t="shared" si="5"/>
        <v>0</v>
      </c>
      <c r="BG150" s="241">
        <f t="shared" si="6"/>
        <v>0</v>
      </c>
      <c r="BH150" s="241">
        <f t="shared" si="7"/>
        <v>0</v>
      </c>
      <c r="BI150" s="241">
        <f t="shared" si="8"/>
        <v>0</v>
      </c>
      <c r="BJ150" s="146" t="s">
        <v>213</v>
      </c>
      <c r="BK150" s="241">
        <f t="shared" si="9"/>
        <v>0</v>
      </c>
      <c r="BL150" s="146" t="s">
        <v>93</v>
      </c>
      <c r="BM150" s="240" t="s">
        <v>1642</v>
      </c>
    </row>
    <row r="151" spans="2:65" s="152" customFormat="1" ht="24.2" customHeight="1" x14ac:dyDescent="0.25">
      <c r="B151" s="226"/>
      <c r="C151" s="242" t="s">
        <v>274</v>
      </c>
      <c r="D151" s="242" t="s">
        <v>1598</v>
      </c>
      <c r="E151" s="243" t="s">
        <v>1643</v>
      </c>
      <c r="F151" s="244" t="s">
        <v>1644</v>
      </c>
      <c r="G151" s="245" t="s">
        <v>309</v>
      </c>
      <c r="H151" s="246">
        <v>12</v>
      </c>
      <c r="I151" s="247"/>
      <c r="J151" s="248">
        <f t="shared" si="0"/>
        <v>0</v>
      </c>
      <c r="K151" s="249"/>
      <c r="L151" s="153"/>
      <c r="M151" s="250" t="s">
        <v>4</v>
      </c>
      <c r="N151" s="251" t="s">
        <v>1539</v>
      </c>
      <c r="P151" s="238">
        <f t="shared" si="1"/>
        <v>0</v>
      </c>
      <c r="Q151" s="238">
        <v>0</v>
      </c>
      <c r="R151" s="238">
        <f t="shared" si="2"/>
        <v>0</v>
      </c>
      <c r="S151" s="238">
        <v>0</v>
      </c>
      <c r="T151" s="239">
        <f t="shared" si="3"/>
        <v>0</v>
      </c>
      <c r="AR151" s="240" t="s">
        <v>93</v>
      </c>
      <c r="AT151" s="240" t="s">
        <v>1598</v>
      </c>
      <c r="AU151" s="240" t="s">
        <v>221</v>
      </c>
      <c r="AY151" s="146" t="s">
        <v>1590</v>
      </c>
      <c r="BE151" s="241">
        <f t="shared" si="4"/>
        <v>0</v>
      </c>
      <c r="BF151" s="241">
        <f t="shared" si="5"/>
        <v>0</v>
      </c>
      <c r="BG151" s="241">
        <f t="shared" si="6"/>
        <v>0</v>
      </c>
      <c r="BH151" s="241">
        <f t="shared" si="7"/>
        <v>0</v>
      </c>
      <c r="BI151" s="241">
        <f t="shared" si="8"/>
        <v>0</v>
      </c>
      <c r="BJ151" s="146" t="s">
        <v>213</v>
      </c>
      <c r="BK151" s="241">
        <f t="shared" si="9"/>
        <v>0</v>
      </c>
      <c r="BL151" s="146" t="s">
        <v>93</v>
      </c>
      <c r="BM151" s="240" t="s">
        <v>1645</v>
      </c>
    </row>
    <row r="152" spans="2:65" s="152" customFormat="1" ht="37.9" customHeight="1" x14ac:dyDescent="0.25">
      <c r="B152" s="226"/>
      <c r="C152" s="227" t="s">
        <v>97</v>
      </c>
      <c r="D152" s="227" t="s">
        <v>1593</v>
      </c>
      <c r="E152" s="228" t="s">
        <v>1646</v>
      </c>
      <c r="F152" s="229" t="s">
        <v>2117</v>
      </c>
      <c r="G152" s="230" t="s">
        <v>1631</v>
      </c>
      <c r="H152" s="231">
        <v>12</v>
      </c>
      <c r="I152" s="232"/>
      <c r="J152" s="233">
        <f t="shared" si="0"/>
        <v>0</v>
      </c>
      <c r="K152" s="234"/>
      <c r="L152" s="235"/>
      <c r="M152" s="236" t="s">
        <v>4</v>
      </c>
      <c r="N152" s="237" t="s">
        <v>1539</v>
      </c>
      <c r="P152" s="238">
        <f t="shared" si="1"/>
        <v>0</v>
      </c>
      <c r="Q152" s="238">
        <v>0</v>
      </c>
      <c r="R152" s="238">
        <f t="shared" si="2"/>
        <v>0</v>
      </c>
      <c r="S152" s="238">
        <v>0</v>
      </c>
      <c r="T152" s="239">
        <f t="shared" si="3"/>
        <v>0</v>
      </c>
      <c r="AR152" s="240" t="s">
        <v>316</v>
      </c>
      <c r="AT152" s="240" t="s">
        <v>1593</v>
      </c>
      <c r="AU152" s="240" t="s">
        <v>221</v>
      </c>
      <c r="AY152" s="146" t="s">
        <v>1590</v>
      </c>
      <c r="BE152" s="241">
        <f t="shared" si="4"/>
        <v>0</v>
      </c>
      <c r="BF152" s="241">
        <f t="shared" si="5"/>
        <v>0</v>
      </c>
      <c r="BG152" s="241">
        <f t="shared" si="6"/>
        <v>0</v>
      </c>
      <c r="BH152" s="241">
        <f t="shared" si="7"/>
        <v>0</v>
      </c>
      <c r="BI152" s="241">
        <f t="shared" si="8"/>
        <v>0</v>
      </c>
      <c r="BJ152" s="146" t="s">
        <v>213</v>
      </c>
      <c r="BK152" s="241">
        <f t="shared" si="9"/>
        <v>0</v>
      </c>
      <c r="BL152" s="146" t="s">
        <v>93</v>
      </c>
      <c r="BM152" s="240" t="s">
        <v>1647</v>
      </c>
    </row>
    <row r="153" spans="2:65" s="152" customFormat="1" ht="24.2" customHeight="1" x14ac:dyDescent="0.25">
      <c r="B153" s="226"/>
      <c r="C153" s="242" t="s">
        <v>279</v>
      </c>
      <c r="D153" s="242" t="s">
        <v>1598</v>
      </c>
      <c r="E153" s="243" t="s">
        <v>1648</v>
      </c>
      <c r="F153" s="244" t="s">
        <v>1649</v>
      </c>
      <c r="G153" s="245" t="s">
        <v>309</v>
      </c>
      <c r="H153" s="246">
        <v>1</v>
      </c>
      <c r="I153" s="247"/>
      <c r="J153" s="248">
        <f t="shared" si="0"/>
        <v>0</v>
      </c>
      <c r="K153" s="249"/>
      <c r="L153" s="153"/>
      <c r="M153" s="250" t="s">
        <v>4</v>
      </c>
      <c r="N153" s="251" t="s">
        <v>1539</v>
      </c>
      <c r="P153" s="238">
        <f t="shared" si="1"/>
        <v>0</v>
      </c>
      <c r="Q153" s="238">
        <v>0</v>
      </c>
      <c r="R153" s="238">
        <f t="shared" si="2"/>
        <v>0</v>
      </c>
      <c r="S153" s="238">
        <v>0</v>
      </c>
      <c r="T153" s="239">
        <f t="shared" si="3"/>
        <v>0</v>
      </c>
      <c r="AR153" s="240" t="s">
        <v>93</v>
      </c>
      <c r="AT153" s="240" t="s">
        <v>1598</v>
      </c>
      <c r="AU153" s="240" t="s">
        <v>221</v>
      </c>
      <c r="AY153" s="146" t="s">
        <v>1590</v>
      </c>
      <c r="BE153" s="241">
        <f t="shared" si="4"/>
        <v>0</v>
      </c>
      <c r="BF153" s="241">
        <f t="shared" si="5"/>
        <v>0</v>
      </c>
      <c r="BG153" s="241">
        <f t="shared" si="6"/>
        <v>0</v>
      </c>
      <c r="BH153" s="241">
        <f t="shared" si="7"/>
        <v>0</v>
      </c>
      <c r="BI153" s="241">
        <f t="shared" si="8"/>
        <v>0</v>
      </c>
      <c r="BJ153" s="146" t="s">
        <v>213</v>
      </c>
      <c r="BK153" s="241">
        <f t="shared" si="9"/>
        <v>0</v>
      </c>
      <c r="BL153" s="146" t="s">
        <v>93</v>
      </c>
      <c r="BM153" s="240" t="s">
        <v>1650</v>
      </c>
    </row>
    <row r="154" spans="2:65" s="152" customFormat="1" ht="24.2" customHeight="1" x14ac:dyDescent="0.25">
      <c r="B154" s="226"/>
      <c r="C154" s="242" t="s">
        <v>99</v>
      </c>
      <c r="D154" s="242" t="s">
        <v>1598</v>
      </c>
      <c r="E154" s="243" t="s">
        <v>1651</v>
      </c>
      <c r="F154" s="244" t="s">
        <v>1652</v>
      </c>
      <c r="G154" s="245" t="s">
        <v>309</v>
      </c>
      <c r="H154" s="246">
        <v>1</v>
      </c>
      <c r="I154" s="247"/>
      <c r="J154" s="248">
        <f t="shared" si="0"/>
        <v>0</v>
      </c>
      <c r="K154" s="249"/>
      <c r="L154" s="153"/>
      <c r="M154" s="250" t="s">
        <v>4</v>
      </c>
      <c r="N154" s="251" t="s">
        <v>1539</v>
      </c>
      <c r="P154" s="238">
        <f t="shared" si="1"/>
        <v>0</v>
      </c>
      <c r="Q154" s="238">
        <v>0</v>
      </c>
      <c r="R154" s="238">
        <f t="shared" si="2"/>
        <v>0</v>
      </c>
      <c r="S154" s="238">
        <v>0</v>
      </c>
      <c r="T154" s="239">
        <f t="shared" si="3"/>
        <v>0</v>
      </c>
      <c r="AR154" s="240" t="s">
        <v>93</v>
      </c>
      <c r="AT154" s="240" t="s">
        <v>1598</v>
      </c>
      <c r="AU154" s="240" t="s">
        <v>221</v>
      </c>
      <c r="AY154" s="146" t="s">
        <v>1590</v>
      </c>
      <c r="BE154" s="241">
        <f t="shared" si="4"/>
        <v>0</v>
      </c>
      <c r="BF154" s="241">
        <f t="shared" si="5"/>
        <v>0</v>
      </c>
      <c r="BG154" s="241">
        <f t="shared" si="6"/>
        <v>0</v>
      </c>
      <c r="BH154" s="241">
        <f t="shared" si="7"/>
        <v>0</v>
      </c>
      <c r="BI154" s="241">
        <f t="shared" si="8"/>
        <v>0</v>
      </c>
      <c r="BJ154" s="146" t="s">
        <v>213</v>
      </c>
      <c r="BK154" s="241">
        <f t="shared" si="9"/>
        <v>0</v>
      </c>
      <c r="BL154" s="146" t="s">
        <v>93</v>
      </c>
      <c r="BM154" s="240" t="s">
        <v>1653</v>
      </c>
    </row>
    <row r="155" spans="2:65" s="152" customFormat="1" ht="24.2" customHeight="1" x14ac:dyDescent="0.25">
      <c r="B155" s="226"/>
      <c r="C155" s="242" t="s">
        <v>284</v>
      </c>
      <c r="D155" s="242" t="s">
        <v>1598</v>
      </c>
      <c r="E155" s="243" t="s">
        <v>1654</v>
      </c>
      <c r="F155" s="244" t="s">
        <v>1655</v>
      </c>
      <c r="G155" s="245" t="s">
        <v>309</v>
      </c>
      <c r="H155" s="246">
        <v>3</v>
      </c>
      <c r="I155" s="247"/>
      <c r="J155" s="248">
        <f t="shared" si="0"/>
        <v>0</v>
      </c>
      <c r="K155" s="249"/>
      <c r="L155" s="153"/>
      <c r="M155" s="250" t="s">
        <v>4</v>
      </c>
      <c r="N155" s="251" t="s">
        <v>1539</v>
      </c>
      <c r="P155" s="238">
        <f t="shared" si="1"/>
        <v>0</v>
      </c>
      <c r="Q155" s="238">
        <v>0</v>
      </c>
      <c r="R155" s="238">
        <f t="shared" si="2"/>
        <v>0</v>
      </c>
      <c r="S155" s="238">
        <v>0</v>
      </c>
      <c r="T155" s="239">
        <f t="shared" si="3"/>
        <v>0</v>
      </c>
      <c r="AR155" s="240" t="s">
        <v>93</v>
      </c>
      <c r="AT155" s="240" t="s">
        <v>1598</v>
      </c>
      <c r="AU155" s="240" t="s">
        <v>221</v>
      </c>
      <c r="AY155" s="146" t="s">
        <v>1590</v>
      </c>
      <c r="BE155" s="241">
        <f t="shared" si="4"/>
        <v>0</v>
      </c>
      <c r="BF155" s="241">
        <f t="shared" si="5"/>
        <v>0</v>
      </c>
      <c r="BG155" s="241">
        <f t="shared" si="6"/>
        <v>0</v>
      </c>
      <c r="BH155" s="241">
        <f t="shared" si="7"/>
        <v>0</v>
      </c>
      <c r="BI155" s="241">
        <f t="shared" si="8"/>
        <v>0</v>
      </c>
      <c r="BJ155" s="146" t="s">
        <v>213</v>
      </c>
      <c r="BK155" s="241">
        <f t="shared" si="9"/>
        <v>0</v>
      </c>
      <c r="BL155" s="146" t="s">
        <v>93</v>
      </c>
      <c r="BM155" s="240" t="s">
        <v>1656</v>
      </c>
    </row>
    <row r="156" spans="2:65" s="152" customFormat="1" ht="24.2" customHeight="1" x14ac:dyDescent="0.25">
      <c r="B156" s="226"/>
      <c r="C156" s="227" t="s">
        <v>287</v>
      </c>
      <c r="D156" s="227" t="s">
        <v>1593</v>
      </c>
      <c r="E156" s="228" t="s">
        <v>1657</v>
      </c>
      <c r="F156" s="229" t="s">
        <v>1658</v>
      </c>
      <c r="G156" s="230" t="s">
        <v>309</v>
      </c>
      <c r="H156" s="231">
        <v>3</v>
      </c>
      <c r="I156" s="232"/>
      <c r="J156" s="233">
        <f t="shared" si="0"/>
        <v>0</v>
      </c>
      <c r="K156" s="234"/>
      <c r="L156" s="235"/>
      <c r="M156" s="236" t="s">
        <v>4</v>
      </c>
      <c r="N156" s="237" t="s">
        <v>1539</v>
      </c>
      <c r="P156" s="238">
        <f t="shared" si="1"/>
        <v>0</v>
      </c>
      <c r="Q156" s="238">
        <v>2.5999999999999999E-3</v>
      </c>
      <c r="R156" s="238">
        <f t="shared" si="2"/>
        <v>7.7999999999999996E-3</v>
      </c>
      <c r="S156" s="238">
        <v>0</v>
      </c>
      <c r="T156" s="239">
        <f t="shared" si="3"/>
        <v>0</v>
      </c>
      <c r="AR156" s="240" t="s">
        <v>316</v>
      </c>
      <c r="AT156" s="240" t="s">
        <v>1593</v>
      </c>
      <c r="AU156" s="240" t="s">
        <v>221</v>
      </c>
      <c r="AY156" s="146" t="s">
        <v>1590</v>
      </c>
      <c r="BE156" s="241">
        <f t="shared" si="4"/>
        <v>0</v>
      </c>
      <c r="BF156" s="241">
        <f t="shared" si="5"/>
        <v>0</v>
      </c>
      <c r="BG156" s="241">
        <f t="shared" si="6"/>
        <v>0</v>
      </c>
      <c r="BH156" s="241">
        <f t="shared" si="7"/>
        <v>0</v>
      </c>
      <c r="BI156" s="241">
        <f t="shared" si="8"/>
        <v>0</v>
      </c>
      <c r="BJ156" s="146" t="s">
        <v>213</v>
      </c>
      <c r="BK156" s="241">
        <f t="shared" si="9"/>
        <v>0</v>
      </c>
      <c r="BL156" s="146" t="s">
        <v>93</v>
      </c>
      <c r="BM156" s="240" t="s">
        <v>1659</v>
      </c>
    </row>
    <row r="157" spans="2:65" s="213" customFormat="1" ht="22.9" customHeight="1" x14ac:dyDescent="0.2">
      <c r="B157" s="214"/>
      <c r="D157" s="215" t="s">
        <v>1587</v>
      </c>
      <c r="E157" s="224" t="s">
        <v>1660</v>
      </c>
      <c r="F157" s="224" t="s">
        <v>1661</v>
      </c>
      <c r="I157" s="217"/>
      <c r="J157" s="225">
        <f>BK157</f>
        <v>0</v>
      </c>
      <c r="L157" s="214"/>
      <c r="M157" s="219"/>
      <c r="P157" s="220">
        <f>SUM(P158:P168)</f>
        <v>0</v>
      </c>
      <c r="R157" s="220">
        <f>SUM(R158:R168)</f>
        <v>1.0030000000000001E-2</v>
      </c>
      <c r="T157" s="221">
        <f>SUM(T158:T168)</f>
        <v>0</v>
      </c>
      <c r="AR157" s="215" t="s">
        <v>221</v>
      </c>
      <c r="AT157" s="222" t="s">
        <v>1587</v>
      </c>
      <c r="AU157" s="222" t="s">
        <v>213</v>
      </c>
      <c r="AY157" s="215" t="s">
        <v>1590</v>
      </c>
      <c r="BK157" s="223">
        <f>SUM(BK158:BK168)</f>
        <v>0</v>
      </c>
    </row>
    <row r="158" spans="2:65" s="152" customFormat="1" ht="16.5" customHeight="1" x14ac:dyDescent="0.25">
      <c r="B158" s="226"/>
      <c r="C158" s="227" t="s">
        <v>290</v>
      </c>
      <c r="D158" s="227" t="s">
        <v>1593</v>
      </c>
      <c r="E158" s="228" t="s">
        <v>1662</v>
      </c>
      <c r="F158" s="229" t="s">
        <v>1663</v>
      </c>
      <c r="G158" s="230" t="s">
        <v>624</v>
      </c>
      <c r="H158" s="231">
        <v>120</v>
      </c>
      <c r="I158" s="232"/>
      <c r="J158" s="233">
        <f t="shared" ref="J158:J168" si="10">ROUND(I158*H158,2)</f>
        <v>0</v>
      </c>
      <c r="K158" s="234"/>
      <c r="L158" s="235"/>
      <c r="M158" s="236" t="s">
        <v>4</v>
      </c>
      <c r="N158" s="237" t="s">
        <v>1539</v>
      </c>
      <c r="P158" s="238">
        <f t="shared" ref="P158:P168" si="11">O158*H158</f>
        <v>0</v>
      </c>
      <c r="Q158" s="238">
        <v>0</v>
      </c>
      <c r="R158" s="238">
        <f t="shared" ref="R158:R168" si="12">Q158*H158</f>
        <v>0</v>
      </c>
      <c r="S158" s="238">
        <v>0</v>
      </c>
      <c r="T158" s="239">
        <f t="shared" ref="T158:T168" si="13">S158*H158</f>
        <v>0</v>
      </c>
      <c r="AR158" s="240" t="s">
        <v>1018</v>
      </c>
      <c r="AT158" s="240" t="s">
        <v>1593</v>
      </c>
      <c r="AU158" s="240" t="s">
        <v>221</v>
      </c>
      <c r="AY158" s="146" t="s">
        <v>1590</v>
      </c>
      <c r="BE158" s="241">
        <f t="shared" ref="BE158:BE168" si="14">IF(N158="základní",J158,0)</f>
        <v>0</v>
      </c>
      <c r="BF158" s="241">
        <f t="shared" ref="BF158:BF168" si="15">IF(N158="snížená",J158,0)</f>
        <v>0</v>
      </c>
      <c r="BG158" s="241">
        <f t="shared" ref="BG158:BG168" si="16">IF(N158="zákl. přenesená",J158,0)</f>
        <v>0</v>
      </c>
      <c r="BH158" s="241">
        <f t="shared" ref="BH158:BH168" si="17">IF(N158="sníž. přenesená",J158,0)</f>
        <v>0</v>
      </c>
      <c r="BI158" s="241">
        <f t="shared" ref="BI158:BI168" si="18">IF(N158="nulová",J158,0)</f>
        <v>0</v>
      </c>
      <c r="BJ158" s="146" t="s">
        <v>213</v>
      </c>
      <c r="BK158" s="241">
        <f t="shared" ref="BK158:BK168" si="19">ROUND(I158*H158,2)</f>
        <v>0</v>
      </c>
      <c r="BL158" s="146" t="s">
        <v>123</v>
      </c>
      <c r="BM158" s="240" t="s">
        <v>1664</v>
      </c>
    </row>
    <row r="159" spans="2:65" s="152" customFormat="1" ht="24.2" customHeight="1" x14ac:dyDescent="0.25">
      <c r="B159" s="226"/>
      <c r="C159" s="242" t="s">
        <v>294</v>
      </c>
      <c r="D159" s="242" t="s">
        <v>1598</v>
      </c>
      <c r="E159" s="243" t="s">
        <v>1665</v>
      </c>
      <c r="F159" s="244" t="s">
        <v>1666</v>
      </c>
      <c r="G159" s="245" t="s">
        <v>309</v>
      </c>
      <c r="H159" s="246">
        <v>5</v>
      </c>
      <c r="I159" s="247"/>
      <c r="J159" s="248">
        <f t="shared" si="10"/>
        <v>0</v>
      </c>
      <c r="K159" s="249"/>
      <c r="L159" s="153"/>
      <c r="M159" s="250" t="s">
        <v>4</v>
      </c>
      <c r="N159" s="251" t="s">
        <v>1539</v>
      </c>
      <c r="P159" s="238">
        <f t="shared" si="11"/>
        <v>0</v>
      </c>
      <c r="Q159" s="238">
        <v>0</v>
      </c>
      <c r="R159" s="238">
        <f t="shared" si="12"/>
        <v>0</v>
      </c>
      <c r="S159" s="238">
        <v>0</v>
      </c>
      <c r="T159" s="239">
        <f t="shared" si="13"/>
        <v>0</v>
      </c>
      <c r="AR159" s="240" t="s">
        <v>93</v>
      </c>
      <c r="AT159" s="240" t="s">
        <v>1598</v>
      </c>
      <c r="AU159" s="240" t="s">
        <v>221</v>
      </c>
      <c r="AY159" s="146" t="s">
        <v>1590</v>
      </c>
      <c r="BE159" s="241">
        <f t="shared" si="14"/>
        <v>0</v>
      </c>
      <c r="BF159" s="241">
        <f t="shared" si="15"/>
        <v>0</v>
      </c>
      <c r="BG159" s="241">
        <f t="shared" si="16"/>
        <v>0</v>
      </c>
      <c r="BH159" s="241">
        <f t="shared" si="17"/>
        <v>0</v>
      </c>
      <c r="BI159" s="241">
        <f t="shared" si="18"/>
        <v>0</v>
      </c>
      <c r="BJ159" s="146" t="s">
        <v>213</v>
      </c>
      <c r="BK159" s="241">
        <f t="shared" si="19"/>
        <v>0</v>
      </c>
      <c r="BL159" s="146" t="s">
        <v>93</v>
      </c>
      <c r="BM159" s="240" t="s">
        <v>1667</v>
      </c>
    </row>
    <row r="160" spans="2:65" s="152" customFormat="1" ht="16.5" customHeight="1" x14ac:dyDescent="0.25">
      <c r="B160" s="226"/>
      <c r="C160" s="227" t="s">
        <v>299</v>
      </c>
      <c r="D160" s="227" t="s">
        <v>1593</v>
      </c>
      <c r="E160" s="228" t="s">
        <v>1668</v>
      </c>
      <c r="F160" s="229" t="s">
        <v>1669</v>
      </c>
      <c r="G160" s="230" t="s">
        <v>1631</v>
      </c>
      <c r="H160" s="231">
        <v>1</v>
      </c>
      <c r="I160" s="232"/>
      <c r="J160" s="233">
        <f t="shared" si="10"/>
        <v>0</v>
      </c>
      <c r="K160" s="234"/>
      <c r="L160" s="235"/>
      <c r="M160" s="236" t="s">
        <v>4</v>
      </c>
      <c r="N160" s="237" t="s">
        <v>1539</v>
      </c>
      <c r="P160" s="238">
        <f t="shared" si="11"/>
        <v>0</v>
      </c>
      <c r="Q160" s="238">
        <v>0</v>
      </c>
      <c r="R160" s="238">
        <f t="shared" si="12"/>
        <v>0</v>
      </c>
      <c r="S160" s="238">
        <v>0</v>
      </c>
      <c r="T160" s="239">
        <f t="shared" si="13"/>
        <v>0</v>
      </c>
      <c r="AR160" s="240" t="s">
        <v>316</v>
      </c>
      <c r="AT160" s="240" t="s">
        <v>1593</v>
      </c>
      <c r="AU160" s="240" t="s">
        <v>221</v>
      </c>
      <c r="AY160" s="146" t="s">
        <v>1590</v>
      </c>
      <c r="BE160" s="241">
        <f t="shared" si="14"/>
        <v>0</v>
      </c>
      <c r="BF160" s="241">
        <f t="shared" si="15"/>
        <v>0</v>
      </c>
      <c r="BG160" s="241">
        <f t="shared" si="16"/>
        <v>0</v>
      </c>
      <c r="BH160" s="241">
        <f t="shared" si="17"/>
        <v>0</v>
      </c>
      <c r="BI160" s="241">
        <f t="shared" si="18"/>
        <v>0</v>
      </c>
      <c r="BJ160" s="146" t="s">
        <v>213</v>
      </c>
      <c r="BK160" s="241">
        <f t="shared" si="19"/>
        <v>0</v>
      </c>
      <c r="BL160" s="146" t="s">
        <v>93</v>
      </c>
      <c r="BM160" s="240" t="s">
        <v>1670</v>
      </c>
    </row>
    <row r="161" spans="2:65" s="152" customFormat="1" ht="16.5" customHeight="1" x14ac:dyDescent="0.25">
      <c r="B161" s="226"/>
      <c r="C161" s="227" t="s">
        <v>101</v>
      </c>
      <c r="D161" s="227" t="s">
        <v>1593</v>
      </c>
      <c r="E161" s="228" t="s">
        <v>1671</v>
      </c>
      <c r="F161" s="229" t="s">
        <v>1672</v>
      </c>
      <c r="G161" s="230" t="s">
        <v>1631</v>
      </c>
      <c r="H161" s="231">
        <v>1</v>
      </c>
      <c r="I161" s="232"/>
      <c r="J161" s="233">
        <f t="shared" si="10"/>
        <v>0</v>
      </c>
      <c r="K161" s="234"/>
      <c r="L161" s="235"/>
      <c r="M161" s="236" t="s">
        <v>4</v>
      </c>
      <c r="N161" s="237" t="s">
        <v>1539</v>
      </c>
      <c r="P161" s="238">
        <f t="shared" si="11"/>
        <v>0</v>
      </c>
      <c r="Q161" s="238">
        <v>0</v>
      </c>
      <c r="R161" s="238">
        <f t="shared" si="12"/>
        <v>0</v>
      </c>
      <c r="S161" s="238">
        <v>0</v>
      </c>
      <c r="T161" s="239">
        <f t="shared" si="13"/>
        <v>0</v>
      </c>
      <c r="AR161" s="240" t="s">
        <v>316</v>
      </c>
      <c r="AT161" s="240" t="s">
        <v>1593</v>
      </c>
      <c r="AU161" s="240" t="s">
        <v>221</v>
      </c>
      <c r="AY161" s="146" t="s">
        <v>1590</v>
      </c>
      <c r="BE161" s="241">
        <f t="shared" si="14"/>
        <v>0</v>
      </c>
      <c r="BF161" s="241">
        <f t="shared" si="15"/>
        <v>0</v>
      </c>
      <c r="BG161" s="241">
        <f t="shared" si="16"/>
        <v>0</v>
      </c>
      <c r="BH161" s="241">
        <f t="shared" si="17"/>
        <v>0</v>
      </c>
      <c r="BI161" s="241">
        <f t="shared" si="18"/>
        <v>0</v>
      </c>
      <c r="BJ161" s="146" t="s">
        <v>213</v>
      </c>
      <c r="BK161" s="241">
        <f t="shared" si="19"/>
        <v>0</v>
      </c>
      <c r="BL161" s="146" t="s">
        <v>93</v>
      </c>
      <c r="BM161" s="240" t="s">
        <v>1673</v>
      </c>
    </row>
    <row r="162" spans="2:65" s="152" customFormat="1" ht="16.5" customHeight="1" x14ac:dyDescent="0.25">
      <c r="B162" s="226"/>
      <c r="C162" s="227" t="s">
        <v>103</v>
      </c>
      <c r="D162" s="227" t="s">
        <v>1593</v>
      </c>
      <c r="E162" s="228" t="s">
        <v>1674</v>
      </c>
      <c r="F162" s="229" t="s">
        <v>1675</v>
      </c>
      <c r="G162" s="230" t="s">
        <v>1631</v>
      </c>
      <c r="H162" s="231">
        <v>1</v>
      </c>
      <c r="I162" s="232"/>
      <c r="J162" s="233">
        <f t="shared" si="10"/>
        <v>0</v>
      </c>
      <c r="K162" s="234"/>
      <c r="L162" s="235"/>
      <c r="M162" s="236" t="s">
        <v>4</v>
      </c>
      <c r="N162" s="237" t="s">
        <v>1539</v>
      </c>
      <c r="P162" s="238">
        <f t="shared" si="11"/>
        <v>0</v>
      </c>
      <c r="Q162" s="238">
        <v>0</v>
      </c>
      <c r="R162" s="238">
        <f t="shared" si="12"/>
        <v>0</v>
      </c>
      <c r="S162" s="238">
        <v>0</v>
      </c>
      <c r="T162" s="239">
        <f t="shared" si="13"/>
        <v>0</v>
      </c>
      <c r="AR162" s="240" t="s">
        <v>316</v>
      </c>
      <c r="AT162" s="240" t="s">
        <v>1593</v>
      </c>
      <c r="AU162" s="240" t="s">
        <v>221</v>
      </c>
      <c r="AY162" s="146" t="s">
        <v>1590</v>
      </c>
      <c r="BE162" s="241">
        <f t="shared" si="14"/>
        <v>0</v>
      </c>
      <c r="BF162" s="241">
        <f t="shared" si="15"/>
        <v>0</v>
      </c>
      <c r="BG162" s="241">
        <f t="shared" si="16"/>
        <v>0</v>
      </c>
      <c r="BH162" s="241">
        <f t="shared" si="17"/>
        <v>0</v>
      </c>
      <c r="BI162" s="241">
        <f t="shared" si="18"/>
        <v>0</v>
      </c>
      <c r="BJ162" s="146" t="s">
        <v>213</v>
      </c>
      <c r="BK162" s="241">
        <f t="shared" si="19"/>
        <v>0</v>
      </c>
      <c r="BL162" s="146" t="s">
        <v>93</v>
      </c>
      <c r="BM162" s="240" t="s">
        <v>1676</v>
      </c>
    </row>
    <row r="163" spans="2:65" s="152" customFormat="1" ht="16.5" customHeight="1" x14ac:dyDescent="0.25">
      <c r="B163" s="226"/>
      <c r="C163" s="227" t="s">
        <v>306</v>
      </c>
      <c r="D163" s="227" t="s">
        <v>1593</v>
      </c>
      <c r="E163" s="228" t="s">
        <v>1677</v>
      </c>
      <c r="F163" s="229" t="s">
        <v>1678</v>
      </c>
      <c r="G163" s="230" t="s">
        <v>1631</v>
      </c>
      <c r="H163" s="231">
        <v>1</v>
      </c>
      <c r="I163" s="232"/>
      <c r="J163" s="233">
        <f t="shared" si="10"/>
        <v>0</v>
      </c>
      <c r="K163" s="234"/>
      <c r="L163" s="235"/>
      <c r="M163" s="236" t="s">
        <v>4</v>
      </c>
      <c r="N163" s="237" t="s">
        <v>1539</v>
      </c>
      <c r="P163" s="238">
        <f t="shared" si="11"/>
        <v>0</v>
      </c>
      <c r="Q163" s="238">
        <v>0</v>
      </c>
      <c r="R163" s="238">
        <f t="shared" si="12"/>
        <v>0</v>
      </c>
      <c r="S163" s="238">
        <v>0</v>
      </c>
      <c r="T163" s="239">
        <f t="shared" si="13"/>
        <v>0</v>
      </c>
      <c r="AR163" s="240" t="s">
        <v>316</v>
      </c>
      <c r="AT163" s="240" t="s">
        <v>1593</v>
      </c>
      <c r="AU163" s="240" t="s">
        <v>221</v>
      </c>
      <c r="AY163" s="146" t="s">
        <v>1590</v>
      </c>
      <c r="BE163" s="241">
        <f t="shared" si="14"/>
        <v>0</v>
      </c>
      <c r="BF163" s="241">
        <f t="shared" si="15"/>
        <v>0</v>
      </c>
      <c r="BG163" s="241">
        <f t="shared" si="16"/>
        <v>0</v>
      </c>
      <c r="BH163" s="241">
        <f t="shared" si="17"/>
        <v>0</v>
      </c>
      <c r="BI163" s="241">
        <f t="shared" si="18"/>
        <v>0</v>
      </c>
      <c r="BJ163" s="146" t="s">
        <v>213</v>
      </c>
      <c r="BK163" s="241">
        <f t="shared" si="19"/>
        <v>0</v>
      </c>
      <c r="BL163" s="146" t="s">
        <v>93</v>
      </c>
      <c r="BM163" s="240" t="s">
        <v>1679</v>
      </c>
    </row>
    <row r="164" spans="2:65" s="152" customFormat="1" ht="16.5" customHeight="1" x14ac:dyDescent="0.25">
      <c r="B164" s="226"/>
      <c r="C164" s="242" t="s">
        <v>310</v>
      </c>
      <c r="D164" s="242" t="s">
        <v>1598</v>
      </c>
      <c r="E164" s="243" t="s">
        <v>1680</v>
      </c>
      <c r="F164" s="244" t="s">
        <v>1681</v>
      </c>
      <c r="G164" s="245" t="s">
        <v>1465</v>
      </c>
      <c r="H164" s="246">
        <v>1</v>
      </c>
      <c r="I164" s="247"/>
      <c r="J164" s="248">
        <f t="shared" si="10"/>
        <v>0</v>
      </c>
      <c r="K164" s="249"/>
      <c r="L164" s="153"/>
      <c r="M164" s="250" t="s">
        <v>4</v>
      </c>
      <c r="N164" s="251" t="s">
        <v>1539</v>
      </c>
      <c r="P164" s="238">
        <f t="shared" si="11"/>
        <v>0</v>
      </c>
      <c r="Q164" s="238">
        <v>0</v>
      </c>
      <c r="R164" s="238">
        <f t="shared" si="12"/>
        <v>0</v>
      </c>
      <c r="S164" s="238">
        <v>0</v>
      </c>
      <c r="T164" s="239">
        <f t="shared" si="13"/>
        <v>0</v>
      </c>
      <c r="AR164" s="240" t="s">
        <v>93</v>
      </c>
      <c r="AT164" s="240" t="s">
        <v>1598</v>
      </c>
      <c r="AU164" s="240" t="s">
        <v>221</v>
      </c>
      <c r="AY164" s="146" t="s">
        <v>1590</v>
      </c>
      <c r="BE164" s="241">
        <f t="shared" si="14"/>
        <v>0</v>
      </c>
      <c r="BF164" s="241">
        <f t="shared" si="15"/>
        <v>0</v>
      </c>
      <c r="BG164" s="241">
        <f t="shared" si="16"/>
        <v>0</v>
      </c>
      <c r="BH164" s="241">
        <f t="shared" si="17"/>
        <v>0</v>
      </c>
      <c r="BI164" s="241">
        <f t="shared" si="18"/>
        <v>0</v>
      </c>
      <c r="BJ164" s="146" t="s">
        <v>213</v>
      </c>
      <c r="BK164" s="241">
        <f t="shared" si="19"/>
        <v>0</v>
      </c>
      <c r="BL164" s="146" t="s">
        <v>93</v>
      </c>
      <c r="BM164" s="240" t="s">
        <v>1682</v>
      </c>
    </row>
    <row r="165" spans="2:65" s="152" customFormat="1" ht="24.2" customHeight="1" x14ac:dyDescent="0.25">
      <c r="B165" s="226"/>
      <c r="C165" s="242" t="s">
        <v>105</v>
      </c>
      <c r="D165" s="242" t="s">
        <v>1598</v>
      </c>
      <c r="E165" s="243" t="s">
        <v>1683</v>
      </c>
      <c r="F165" s="244" t="s">
        <v>1684</v>
      </c>
      <c r="G165" s="245" t="s">
        <v>309</v>
      </c>
      <c r="H165" s="246">
        <v>1</v>
      </c>
      <c r="I165" s="247"/>
      <c r="J165" s="248">
        <f t="shared" si="10"/>
        <v>0</v>
      </c>
      <c r="K165" s="249"/>
      <c r="L165" s="153"/>
      <c r="M165" s="250" t="s">
        <v>4</v>
      </c>
      <c r="N165" s="251" t="s">
        <v>1539</v>
      </c>
      <c r="P165" s="238">
        <f t="shared" si="11"/>
        <v>0</v>
      </c>
      <c r="Q165" s="238">
        <v>0</v>
      </c>
      <c r="R165" s="238">
        <f t="shared" si="12"/>
        <v>0</v>
      </c>
      <c r="S165" s="238">
        <v>0</v>
      </c>
      <c r="T165" s="239">
        <f t="shared" si="13"/>
        <v>0</v>
      </c>
      <c r="AR165" s="240" t="s">
        <v>93</v>
      </c>
      <c r="AT165" s="240" t="s">
        <v>1598</v>
      </c>
      <c r="AU165" s="240" t="s">
        <v>221</v>
      </c>
      <c r="AY165" s="146" t="s">
        <v>1590</v>
      </c>
      <c r="BE165" s="241">
        <f t="shared" si="14"/>
        <v>0</v>
      </c>
      <c r="BF165" s="241">
        <f t="shared" si="15"/>
        <v>0</v>
      </c>
      <c r="BG165" s="241">
        <f t="shared" si="16"/>
        <v>0</v>
      </c>
      <c r="BH165" s="241">
        <f t="shared" si="17"/>
        <v>0</v>
      </c>
      <c r="BI165" s="241">
        <f t="shared" si="18"/>
        <v>0</v>
      </c>
      <c r="BJ165" s="146" t="s">
        <v>213</v>
      </c>
      <c r="BK165" s="241">
        <f t="shared" si="19"/>
        <v>0</v>
      </c>
      <c r="BL165" s="146" t="s">
        <v>93</v>
      </c>
      <c r="BM165" s="240" t="s">
        <v>1685</v>
      </c>
    </row>
    <row r="166" spans="2:65" s="152" customFormat="1" ht="24.2" customHeight="1" x14ac:dyDescent="0.25">
      <c r="B166" s="226"/>
      <c r="C166" s="227" t="s">
        <v>316</v>
      </c>
      <c r="D166" s="227" t="s">
        <v>1593</v>
      </c>
      <c r="E166" s="228" t="s">
        <v>1686</v>
      </c>
      <c r="F166" s="229" t="s">
        <v>1687</v>
      </c>
      <c r="G166" s="230" t="s">
        <v>309</v>
      </c>
      <c r="H166" s="231">
        <v>1</v>
      </c>
      <c r="I166" s="232"/>
      <c r="J166" s="233">
        <f t="shared" si="10"/>
        <v>0</v>
      </c>
      <c r="K166" s="234"/>
      <c r="L166" s="235"/>
      <c r="M166" s="236" t="s">
        <v>4</v>
      </c>
      <c r="N166" s="237" t="s">
        <v>1539</v>
      </c>
      <c r="P166" s="238">
        <f t="shared" si="11"/>
        <v>0</v>
      </c>
      <c r="Q166" s="238">
        <v>0.01</v>
      </c>
      <c r="R166" s="238">
        <f t="shared" si="12"/>
        <v>0.01</v>
      </c>
      <c r="S166" s="238">
        <v>0</v>
      </c>
      <c r="T166" s="239">
        <f t="shared" si="13"/>
        <v>0</v>
      </c>
      <c r="AR166" s="240" t="s">
        <v>316</v>
      </c>
      <c r="AT166" s="240" t="s">
        <v>1593</v>
      </c>
      <c r="AU166" s="240" t="s">
        <v>221</v>
      </c>
      <c r="AY166" s="146" t="s">
        <v>1590</v>
      </c>
      <c r="BE166" s="241">
        <f t="shared" si="14"/>
        <v>0</v>
      </c>
      <c r="BF166" s="241">
        <f t="shared" si="15"/>
        <v>0</v>
      </c>
      <c r="BG166" s="241">
        <f t="shared" si="16"/>
        <v>0</v>
      </c>
      <c r="BH166" s="241">
        <f t="shared" si="17"/>
        <v>0</v>
      </c>
      <c r="BI166" s="241">
        <f t="shared" si="18"/>
        <v>0</v>
      </c>
      <c r="BJ166" s="146" t="s">
        <v>213</v>
      </c>
      <c r="BK166" s="241">
        <f t="shared" si="19"/>
        <v>0</v>
      </c>
      <c r="BL166" s="146" t="s">
        <v>93</v>
      </c>
      <c r="BM166" s="240" t="s">
        <v>1688</v>
      </c>
    </row>
    <row r="167" spans="2:65" s="152" customFormat="1" ht="16.5" customHeight="1" x14ac:dyDescent="0.25">
      <c r="B167" s="226"/>
      <c r="C167" s="242" t="s">
        <v>319</v>
      </c>
      <c r="D167" s="242" t="s">
        <v>1598</v>
      </c>
      <c r="E167" s="243" t="s">
        <v>1689</v>
      </c>
      <c r="F167" s="244" t="s">
        <v>1690</v>
      </c>
      <c r="G167" s="245" t="s">
        <v>309</v>
      </c>
      <c r="H167" s="246">
        <v>3</v>
      </c>
      <c r="I167" s="247"/>
      <c r="J167" s="248">
        <f t="shared" si="10"/>
        <v>0</v>
      </c>
      <c r="K167" s="249"/>
      <c r="L167" s="153"/>
      <c r="M167" s="250" t="s">
        <v>4</v>
      </c>
      <c r="N167" s="251" t="s">
        <v>1539</v>
      </c>
      <c r="P167" s="238">
        <f t="shared" si="11"/>
        <v>0</v>
      </c>
      <c r="Q167" s="238">
        <v>0</v>
      </c>
      <c r="R167" s="238">
        <f t="shared" si="12"/>
        <v>0</v>
      </c>
      <c r="S167" s="238">
        <v>0</v>
      </c>
      <c r="T167" s="239">
        <f t="shared" si="13"/>
        <v>0</v>
      </c>
      <c r="AR167" s="240" t="s">
        <v>93</v>
      </c>
      <c r="AT167" s="240" t="s">
        <v>1598</v>
      </c>
      <c r="AU167" s="240" t="s">
        <v>221</v>
      </c>
      <c r="AY167" s="146" t="s">
        <v>1590</v>
      </c>
      <c r="BE167" s="241">
        <f t="shared" si="14"/>
        <v>0</v>
      </c>
      <c r="BF167" s="241">
        <f t="shared" si="15"/>
        <v>0</v>
      </c>
      <c r="BG167" s="241">
        <f t="shared" si="16"/>
        <v>0</v>
      </c>
      <c r="BH167" s="241">
        <f t="shared" si="17"/>
        <v>0</v>
      </c>
      <c r="BI167" s="241">
        <f t="shared" si="18"/>
        <v>0</v>
      </c>
      <c r="BJ167" s="146" t="s">
        <v>213</v>
      </c>
      <c r="BK167" s="241">
        <f t="shared" si="19"/>
        <v>0</v>
      </c>
      <c r="BL167" s="146" t="s">
        <v>93</v>
      </c>
      <c r="BM167" s="240" t="s">
        <v>1691</v>
      </c>
    </row>
    <row r="168" spans="2:65" s="152" customFormat="1" ht="16.5" customHeight="1" x14ac:dyDescent="0.25">
      <c r="B168" s="226"/>
      <c r="C168" s="227" t="s">
        <v>107</v>
      </c>
      <c r="D168" s="227" t="s">
        <v>1593</v>
      </c>
      <c r="E168" s="228" t="s">
        <v>1692</v>
      </c>
      <c r="F168" s="229" t="s">
        <v>1693</v>
      </c>
      <c r="G168" s="230" t="s">
        <v>309</v>
      </c>
      <c r="H168" s="231">
        <v>3</v>
      </c>
      <c r="I168" s="232"/>
      <c r="J168" s="233">
        <f t="shared" si="10"/>
        <v>0</v>
      </c>
      <c r="K168" s="234"/>
      <c r="L168" s="235"/>
      <c r="M168" s="236" t="s">
        <v>4</v>
      </c>
      <c r="N168" s="237" t="s">
        <v>1539</v>
      </c>
      <c r="P168" s="238">
        <f t="shared" si="11"/>
        <v>0</v>
      </c>
      <c r="Q168" s="238">
        <v>1.0000000000000001E-5</v>
      </c>
      <c r="R168" s="238">
        <f t="shared" si="12"/>
        <v>3.0000000000000004E-5</v>
      </c>
      <c r="S168" s="238">
        <v>0</v>
      </c>
      <c r="T168" s="239">
        <f t="shared" si="13"/>
        <v>0</v>
      </c>
      <c r="AR168" s="240" t="s">
        <v>316</v>
      </c>
      <c r="AT168" s="240" t="s">
        <v>1593</v>
      </c>
      <c r="AU168" s="240" t="s">
        <v>221</v>
      </c>
      <c r="AY168" s="146" t="s">
        <v>1590</v>
      </c>
      <c r="BE168" s="241">
        <f t="shared" si="14"/>
        <v>0</v>
      </c>
      <c r="BF168" s="241">
        <f t="shared" si="15"/>
        <v>0</v>
      </c>
      <c r="BG168" s="241">
        <f t="shared" si="16"/>
        <v>0</v>
      </c>
      <c r="BH168" s="241">
        <f t="shared" si="17"/>
        <v>0</v>
      </c>
      <c r="BI168" s="241">
        <f t="shared" si="18"/>
        <v>0</v>
      </c>
      <c r="BJ168" s="146" t="s">
        <v>213</v>
      </c>
      <c r="BK168" s="241">
        <f t="shared" si="19"/>
        <v>0</v>
      </c>
      <c r="BL168" s="146" t="s">
        <v>93</v>
      </c>
      <c r="BM168" s="240" t="s">
        <v>1694</v>
      </c>
    </row>
    <row r="169" spans="2:65" s="213" customFormat="1" ht="22.9" customHeight="1" x14ac:dyDescent="0.2">
      <c r="B169" s="214"/>
      <c r="D169" s="215" t="s">
        <v>1587</v>
      </c>
      <c r="E169" s="224" t="s">
        <v>1695</v>
      </c>
      <c r="F169" s="224" t="s">
        <v>1696</v>
      </c>
      <c r="I169" s="217"/>
      <c r="J169" s="225">
        <f>BK169</f>
        <v>0</v>
      </c>
      <c r="L169" s="214"/>
      <c r="M169" s="219"/>
      <c r="P169" s="220">
        <f>SUM(P170:P185)</f>
        <v>0</v>
      </c>
      <c r="R169" s="220">
        <f>SUM(R170:R185)</f>
        <v>7.9360000000000014E-2</v>
      </c>
      <c r="T169" s="221">
        <f>SUM(T170:T185)</f>
        <v>0</v>
      </c>
      <c r="AR169" s="215" t="s">
        <v>221</v>
      </c>
      <c r="AT169" s="222" t="s">
        <v>1587</v>
      </c>
      <c r="AU169" s="222" t="s">
        <v>213</v>
      </c>
      <c r="AY169" s="215" t="s">
        <v>1590</v>
      </c>
      <c r="BK169" s="223">
        <f>SUM(BK170:BK185)</f>
        <v>0</v>
      </c>
    </row>
    <row r="170" spans="2:65" s="152" customFormat="1" ht="24.2" customHeight="1" x14ac:dyDescent="0.25">
      <c r="B170" s="226"/>
      <c r="C170" s="242" t="s">
        <v>324</v>
      </c>
      <c r="D170" s="242" t="s">
        <v>1598</v>
      </c>
      <c r="E170" s="243" t="s">
        <v>1697</v>
      </c>
      <c r="F170" s="244" t="s">
        <v>1698</v>
      </c>
      <c r="G170" s="245" t="s">
        <v>313</v>
      </c>
      <c r="H170" s="246">
        <v>480</v>
      </c>
      <c r="I170" s="247"/>
      <c r="J170" s="248">
        <f t="shared" ref="J170:J185" si="20">ROUND(I170*H170,2)</f>
        <v>0</v>
      </c>
      <c r="K170" s="249"/>
      <c r="L170" s="153"/>
      <c r="M170" s="250" t="s">
        <v>4</v>
      </c>
      <c r="N170" s="251" t="s">
        <v>1539</v>
      </c>
      <c r="P170" s="238">
        <f t="shared" ref="P170:P185" si="21">O170*H170</f>
        <v>0</v>
      </c>
      <c r="Q170" s="238">
        <v>0</v>
      </c>
      <c r="R170" s="238">
        <f t="shared" ref="R170:R185" si="22">Q170*H170</f>
        <v>0</v>
      </c>
      <c r="S170" s="238">
        <v>0</v>
      </c>
      <c r="T170" s="239">
        <f t="shared" ref="T170:T185" si="23">S170*H170</f>
        <v>0</v>
      </c>
      <c r="AR170" s="240" t="s">
        <v>123</v>
      </c>
      <c r="AT170" s="240" t="s">
        <v>1598</v>
      </c>
      <c r="AU170" s="240" t="s">
        <v>221</v>
      </c>
      <c r="AY170" s="146" t="s">
        <v>1590</v>
      </c>
      <c r="BE170" s="241">
        <f t="shared" ref="BE170:BE185" si="24">IF(N170="základní",J170,0)</f>
        <v>0</v>
      </c>
      <c r="BF170" s="241">
        <f t="shared" ref="BF170:BF185" si="25">IF(N170="snížená",J170,0)</f>
        <v>0</v>
      </c>
      <c r="BG170" s="241">
        <f t="shared" ref="BG170:BG185" si="26">IF(N170="zákl. přenesená",J170,0)</f>
        <v>0</v>
      </c>
      <c r="BH170" s="241">
        <f t="shared" ref="BH170:BH185" si="27">IF(N170="sníž. přenesená",J170,0)</f>
        <v>0</v>
      </c>
      <c r="BI170" s="241">
        <f t="shared" ref="BI170:BI185" si="28">IF(N170="nulová",J170,0)</f>
        <v>0</v>
      </c>
      <c r="BJ170" s="146" t="s">
        <v>213</v>
      </c>
      <c r="BK170" s="241">
        <f t="shared" ref="BK170:BK185" si="29">ROUND(I170*H170,2)</f>
        <v>0</v>
      </c>
      <c r="BL170" s="146" t="s">
        <v>123</v>
      </c>
      <c r="BM170" s="240" t="s">
        <v>1699</v>
      </c>
    </row>
    <row r="171" spans="2:65" s="152" customFormat="1" ht="21.75" customHeight="1" x14ac:dyDescent="0.25">
      <c r="B171" s="226"/>
      <c r="C171" s="227" t="s">
        <v>328</v>
      </c>
      <c r="D171" s="227" t="s">
        <v>1593</v>
      </c>
      <c r="E171" s="228" t="s">
        <v>1700</v>
      </c>
      <c r="F171" s="229" t="s">
        <v>1701</v>
      </c>
      <c r="G171" s="230" t="s">
        <v>313</v>
      </c>
      <c r="H171" s="231">
        <v>480</v>
      </c>
      <c r="I171" s="232"/>
      <c r="J171" s="233">
        <f t="shared" si="20"/>
        <v>0</v>
      </c>
      <c r="K171" s="234"/>
      <c r="L171" s="235"/>
      <c r="M171" s="236" t="s">
        <v>4</v>
      </c>
      <c r="N171" s="237" t="s">
        <v>1539</v>
      </c>
      <c r="P171" s="238">
        <f t="shared" si="21"/>
        <v>0</v>
      </c>
      <c r="Q171" s="238">
        <v>1.6000000000000001E-4</v>
      </c>
      <c r="R171" s="238">
        <f t="shared" si="22"/>
        <v>7.6800000000000007E-2</v>
      </c>
      <c r="S171" s="238">
        <v>0</v>
      </c>
      <c r="T171" s="239">
        <f t="shared" si="23"/>
        <v>0</v>
      </c>
      <c r="AR171" s="240" t="s">
        <v>1018</v>
      </c>
      <c r="AT171" s="240" t="s">
        <v>1593</v>
      </c>
      <c r="AU171" s="240" t="s">
        <v>221</v>
      </c>
      <c r="AY171" s="146" t="s">
        <v>1590</v>
      </c>
      <c r="BE171" s="241">
        <f t="shared" si="24"/>
        <v>0</v>
      </c>
      <c r="BF171" s="241">
        <f t="shared" si="25"/>
        <v>0</v>
      </c>
      <c r="BG171" s="241">
        <f t="shared" si="26"/>
        <v>0</v>
      </c>
      <c r="BH171" s="241">
        <f t="shared" si="27"/>
        <v>0</v>
      </c>
      <c r="BI171" s="241">
        <f t="shared" si="28"/>
        <v>0</v>
      </c>
      <c r="BJ171" s="146" t="s">
        <v>213</v>
      </c>
      <c r="BK171" s="241">
        <f t="shared" si="29"/>
        <v>0</v>
      </c>
      <c r="BL171" s="146" t="s">
        <v>123</v>
      </c>
      <c r="BM171" s="240" t="s">
        <v>1702</v>
      </c>
    </row>
    <row r="172" spans="2:65" s="152" customFormat="1" ht="24.2" customHeight="1" x14ac:dyDescent="0.25">
      <c r="B172" s="226"/>
      <c r="C172" s="242" t="s">
        <v>332</v>
      </c>
      <c r="D172" s="242" t="s">
        <v>1598</v>
      </c>
      <c r="E172" s="243" t="s">
        <v>1703</v>
      </c>
      <c r="F172" s="244" t="s">
        <v>1704</v>
      </c>
      <c r="G172" s="245" t="s">
        <v>313</v>
      </c>
      <c r="H172" s="246">
        <v>170</v>
      </c>
      <c r="I172" s="247"/>
      <c r="J172" s="248">
        <f t="shared" si="20"/>
        <v>0</v>
      </c>
      <c r="K172" s="249"/>
      <c r="L172" s="153"/>
      <c r="M172" s="250" t="s">
        <v>4</v>
      </c>
      <c r="N172" s="251" t="s">
        <v>1539</v>
      </c>
      <c r="P172" s="238">
        <f t="shared" si="21"/>
        <v>0</v>
      </c>
      <c r="Q172" s="238">
        <v>0</v>
      </c>
      <c r="R172" s="238">
        <f t="shared" si="22"/>
        <v>0</v>
      </c>
      <c r="S172" s="238">
        <v>0</v>
      </c>
      <c r="T172" s="239">
        <f t="shared" si="23"/>
        <v>0</v>
      </c>
      <c r="AR172" s="240" t="s">
        <v>93</v>
      </c>
      <c r="AT172" s="240" t="s">
        <v>1598</v>
      </c>
      <c r="AU172" s="240" t="s">
        <v>221</v>
      </c>
      <c r="AY172" s="146" t="s">
        <v>1590</v>
      </c>
      <c r="BE172" s="241">
        <f t="shared" si="24"/>
        <v>0</v>
      </c>
      <c r="BF172" s="241">
        <f t="shared" si="25"/>
        <v>0</v>
      </c>
      <c r="BG172" s="241">
        <f t="shared" si="26"/>
        <v>0</v>
      </c>
      <c r="BH172" s="241">
        <f t="shared" si="27"/>
        <v>0</v>
      </c>
      <c r="BI172" s="241">
        <f t="shared" si="28"/>
        <v>0</v>
      </c>
      <c r="BJ172" s="146" t="s">
        <v>213</v>
      </c>
      <c r="BK172" s="241">
        <f t="shared" si="29"/>
        <v>0</v>
      </c>
      <c r="BL172" s="146" t="s">
        <v>93</v>
      </c>
      <c r="BM172" s="240" t="s">
        <v>1705</v>
      </c>
    </row>
    <row r="173" spans="2:65" s="152" customFormat="1" ht="16.5" customHeight="1" x14ac:dyDescent="0.25">
      <c r="B173" s="226"/>
      <c r="C173" s="227" t="s">
        <v>335</v>
      </c>
      <c r="D173" s="227" t="s">
        <v>1593</v>
      </c>
      <c r="E173" s="228" t="s">
        <v>1706</v>
      </c>
      <c r="F173" s="229" t="s">
        <v>1707</v>
      </c>
      <c r="G173" s="230" t="s">
        <v>1593</v>
      </c>
      <c r="H173" s="231">
        <v>170</v>
      </c>
      <c r="I173" s="232"/>
      <c r="J173" s="233">
        <f t="shared" si="20"/>
        <v>0</v>
      </c>
      <c r="K173" s="234"/>
      <c r="L173" s="235"/>
      <c r="M173" s="236" t="s">
        <v>4</v>
      </c>
      <c r="N173" s="237" t="s">
        <v>1539</v>
      </c>
      <c r="P173" s="238">
        <f t="shared" si="21"/>
        <v>0</v>
      </c>
      <c r="Q173" s="238">
        <v>0</v>
      </c>
      <c r="R173" s="238">
        <f t="shared" si="22"/>
        <v>0</v>
      </c>
      <c r="S173" s="238">
        <v>0</v>
      </c>
      <c r="T173" s="239">
        <f t="shared" si="23"/>
        <v>0</v>
      </c>
      <c r="AR173" s="240" t="s">
        <v>316</v>
      </c>
      <c r="AT173" s="240" t="s">
        <v>1593</v>
      </c>
      <c r="AU173" s="240" t="s">
        <v>221</v>
      </c>
      <c r="AY173" s="146" t="s">
        <v>1590</v>
      </c>
      <c r="BE173" s="241">
        <f t="shared" si="24"/>
        <v>0</v>
      </c>
      <c r="BF173" s="241">
        <f t="shared" si="25"/>
        <v>0</v>
      </c>
      <c r="BG173" s="241">
        <f t="shared" si="26"/>
        <v>0</v>
      </c>
      <c r="BH173" s="241">
        <f t="shared" si="27"/>
        <v>0</v>
      </c>
      <c r="BI173" s="241">
        <f t="shared" si="28"/>
        <v>0</v>
      </c>
      <c r="BJ173" s="146" t="s">
        <v>213</v>
      </c>
      <c r="BK173" s="241">
        <f t="shared" si="29"/>
        <v>0</v>
      </c>
      <c r="BL173" s="146" t="s">
        <v>93</v>
      </c>
      <c r="BM173" s="240" t="s">
        <v>1708</v>
      </c>
    </row>
    <row r="174" spans="2:65" s="152" customFormat="1" ht="24.2" customHeight="1" x14ac:dyDescent="0.25">
      <c r="B174" s="226"/>
      <c r="C174" s="242" t="s">
        <v>338</v>
      </c>
      <c r="D174" s="242" t="s">
        <v>1598</v>
      </c>
      <c r="E174" s="243" t="s">
        <v>1709</v>
      </c>
      <c r="F174" s="244" t="s">
        <v>1710</v>
      </c>
      <c r="G174" s="245" t="s">
        <v>309</v>
      </c>
      <c r="H174" s="246">
        <v>218</v>
      </c>
      <c r="I174" s="247"/>
      <c r="J174" s="248">
        <f t="shared" si="20"/>
        <v>0</v>
      </c>
      <c r="K174" s="249"/>
      <c r="L174" s="153"/>
      <c r="M174" s="250" t="s">
        <v>4</v>
      </c>
      <c r="N174" s="251" t="s">
        <v>1539</v>
      </c>
      <c r="P174" s="238">
        <f t="shared" si="21"/>
        <v>0</v>
      </c>
      <c r="Q174" s="238">
        <v>0</v>
      </c>
      <c r="R174" s="238">
        <f t="shared" si="22"/>
        <v>0</v>
      </c>
      <c r="S174" s="238">
        <v>0</v>
      </c>
      <c r="T174" s="239">
        <f t="shared" si="23"/>
        <v>0</v>
      </c>
      <c r="AR174" s="240" t="s">
        <v>93</v>
      </c>
      <c r="AT174" s="240" t="s">
        <v>1598</v>
      </c>
      <c r="AU174" s="240" t="s">
        <v>221</v>
      </c>
      <c r="AY174" s="146" t="s">
        <v>1590</v>
      </c>
      <c r="BE174" s="241">
        <f t="shared" si="24"/>
        <v>0</v>
      </c>
      <c r="BF174" s="241">
        <f t="shared" si="25"/>
        <v>0</v>
      </c>
      <c r="BG174" s="241">
        <f t="shared" si="26"/>
        <v>0</v>
      </c>
      <c r="BH174" s="241">
        <f t="shared" si="27"/>
        <v>0</v>
      </c>
      <c r="BI174" s="241">
        <f t="shared" si="28"/>
        <v>0</v>
      </c>
      <c r="BJ174" s="146" t="s">
        <v>213</v>
      </c>
      <c r="BK174" s="241">
        <f t="shared" si="29"/>
        <v>0</v>
      </c>
      <c r="BL174" s="146" t="s">
        <v>93</v>
      </c>
      <c r="BM174" s="240" t="s">
        <v>1711</v>
      </c>
    </row>
    <row r="175" spans="2:65" s="152" customFormat="1" ht="16.5" customHeight="1" x14ac:dyDescent="0.25">
      <c r="B175" s="226"/>
      <c r="C175" s="227" t="s">
        <v>341</v>
      </c>
      <c r="D175" s="227" t="s">
        <v>1593</v>
      </c>
      <c r="E175" s="228" t="s">
        <v>1712</v>
      </c>
      <c r="F175" s="229" t="s">
        <v>1713</v>
      </c>
      <c r="G175" s="230" t="s">
        <v>1631</v>
      </c>
      <c r="H175" s="231">
        <v>218</v>
      </c>
      <c r="I175" s="232"/>
      <c r="J175" s="233">
        <f t="shared" si="20"/>
        <v>0</v>
      </c>
      <c r="K175" s="234"/>
      <c r="L175" s="235"/>
      <c r="M175" s="236" t="s">
        <v>4</v>
      </c>
      <c r="N175" s="237" t="s">
        <v>1539</v>
      </c>
      <c r="P175" s="238">
        <f t="shared" si="21"/>
        <v>0</v>
      </c>
      <c r="Q175" s="238">
        <v>0</v>
      </c>
      <c r="R175" s="238">
        <f t="shared" si="22"/>
        <v>0</v>
      </c>
      <c r="S175" s="238">
        <v>0</v>
      </c>
      <c r="T175" s="239">
        <f t="shared" si="23"/>
        <v>0</v>
      </c>
      <c r="AR175" s="240" t="s">
        <v>316</v>
      </c>
      <c r="AT175" s="240" t="s">
        <v>1593</v>
      </c>
      <c r="AU175" s="240" t="s">
        <v>221</v>
      </c>
      <c r="AY175" s="146" t="s">
        <v>1590</v>
      </c>
      <c r="BE175" s="241">
        <f t="shared" si="24"/>
        <v>0</v>
      </c>
      <c r="BF175" s="241">
        <f t="shared" si="25"/>
        <v>0</v>
      </c>
      <c r="BG175" s="241">
        <f t="shared" si="26"/>
        <v>0</v>
      </c>
      <c r="BH175" s="241">
        <f t="shared" si="27"/>
        <v>0</v>
      </c>
      <c r="BI175" s="241">
        <f t="shared" si="28"/>
        <v>0</v>
      </c>
      <c r="BJ175" s="146" t="s">
        <v>213</v>
      </c>
      <c r="BK175" s="241">
        <f t="shared" si="29"/>
        <v>0</v>
      </c>
      <c r="BL175" s="146" t="s">
        <v>93</v>
      </c>
      <c r="BM175" s="240" t="s">
        <v>1714</v>
      </c>
    </row>
    <row r="176" spans="2:65" s="152" customFormat="1" ht="24.2" customHeight="1" x14ac:dyDescent="0.25">
      <c r="B176" s="226"/>
      <c r="C176" s="242" t="s">
        <v>109</v>
      </c>
      <c r="D176" s="242" t="s">
        <v>1598</v>
      </c>
      <c r="E176" s="243" t="s">
        <v>1715</v>
      </c>
      <c r="F176" s="244" t="s">
        <v>1710</v>
      </c>
      <c r="G176" s="245" t="s">
        <v>309</v>
      </c>
      <c r="H176" s="246">
        <v>40</v>
      </c>
      <c r="I176" s="247"/>
      <c r="J176" s="248">
        <f t="shared" si="20"/>
        <v>0</v>
      </c>
      <c r="K176" s="249"/>
      <c r="L176" s="153"/>
      <c r="M176" s="250" t="s">
        <v>4</v>
      </c>
      <c r="N176" s="251" t="s">
        <v>1539</v>
      </c>
      <c r="P176" s="238">
        <f t="shared" si="21"/>
        <v>0</v>
      </c>
      <c r="Q176" s="238">
        <v>0</v>
      </c>
      <c r="R176" s="238">
        <f t="shared" si="22"/>
        <v>0</v>
      </c>
      <c r="S176" s="238">
        <v>0</v>
      </c>
      <c r="T176" s="239">
        <f t="shared" si="23"/>
        <v>0</v>
      </c>
      <c r="AR176" s="240" t="s">
        <v>93</v>
      </c>
      <c r="AT176" s="240" t="s">
        <v>1598</v>
      </c>
      <c r="AU176" s="240" t="s">
        <v>221</v>
      </c>
      <c r="AY176" s="146" t="s">
        <v>1590</v>
      </c>
      <c r="BE176" s="241">
        <f t="shared" si="24"/>
        <v>0</v>
      </c>
      <c r="BF176" s="241">
        <f t="shared" si="25"/>
        <v>0</v>
      </c>
      <c r="BG176" s="241">
        <f t="shared" si="26"/>
        <v>0</v>
      </c>
      <c r="BH176" s="241">
        <f t="shared" si="27"/>
        <v>0</v>
      </c>
      <c r="BI176" s="241">
        <f t="shared" si="28"/>
        <v>0</v>
      </c>
      <c r="BJ176" s="146" t="s">
        <v>213</v>
      </c>
      <c r="BK176" s="241">
        <f t="shared" si="29"/>
        <v>0</v>
      </c>
      <c r="BL176" s="146" t="s">
        <v>93</v>
      </c>
      <c r="BM176" s="240" t="s">
        <v>1716</v>
      </c>
    </row>
    <row r="177" spans="2:65" s="152" customFormat="1" ht="21.75" customHeight="1" x14ac:dyDescent="0.25">
      <c r="B177" s="226"/>
      <c r="C177" s="227" t="s">
        <v>349</v>
      </c>
      <c r="D177" s="227" t="s">
        <v>1593</v>
      </c>
      <c r="E177" s="228" t="s">
        <v>1717</v>
      </c>
      <c r="F177" s="229" t="s">
        <v>1718</v>
      </c>
      <c r="G177" s="230" t="s">
        <v>1631</v>
      </c>
      <c r="H177" s="231">
        <v>40</v>
      </c>
      <c r="I177" s="232"/>
      <c r="J177" s="233">
        <f t="shared" si="20"/>
        <v>0</v>
      </c>
      <c r="K177" s="234"/>
      <c r="L177" s="235"/>
      <c r="M177" s="236" t="s">
        <v>4</v>
      </c>
      <c r="N177" s="237" t="s">
        <v>1539</v>
      </c>
      <c r="P177" s="238">
        <f t="shared" si="21"/>
        <v>0</v>
      </c>
      <c r="Q177" s="238">
        <v>0</v>
      </c>
      <c r="R177" s="238">
        <f t="shared" si="22"/>
        <v>0</v>
      </c>
      <c r="S177" s="238">
        <v>0</v>
      </c>
      <c r="T177" s="239">
        <f t="shared" si="23"/>
        <v>0</v>
      </c>
      <c r="AR177" s="240" t="s">
        <v>316</v>
      </c>
      <c r="AT177" s="240" t="s">
        <v>1593</v>
      </c>
      <c r="AU177" s="240" t="s">
        <v>221</v>
      </c>
      <c r="AY177" s="146" t="s">
        <v>1590</v>
      </c>
      <c r="BE177" s="241">
        <f t="shared" si="24"/>
        <v>0</v>
      </c>
      <c r="BF177" s="241">
        <f t="shared" si="25"/>
        <v>0</v>
      </c>
      <c r="BG177" s="241">
        <f t="shared" si="26"/>
        <v>0</v>
      </c>
      <c r="BH177" s="241">
        <f t="shared" si="27"/>
        <v>0</v>
      </c>
      <c r="BI177" s="241">
        <f t="shared" si="28"/>
        <v>0</v>
      </c>
      <c r="BJ177" s="146" t="s">
        <v>213</v>
      </c>
      <c r="BK177" s="241">
        <f t="shared" si="29"/>
        <v>0</v>
      </c>
      <c r="BL177" s="146" t="s">
        <v>93</v>
      </c>
      <c r="BM177" s="240" t="s">
        <v>1719</v>
      </c>
    </row>
    <row r="178" spans="2:65" s="152" customFormat="1" ht="24.2" customHeight="1" x14ac:dyDescent="0.25">
      <c r="B178" s="226"/>
      <c r="C178" s="242" t="s">
        <v>111</v>
      </c>
      <c r="D178" s="242" t="s">
        <v>1598</v>
      </c>
      <c r="E178" s="243" t="s">
        <v>1720</v>
      </c>
      <c r="F178" s="244" t="s">
        <v>1721</v>
      </c>
      <c r="G178" s="245" t="s">
        <v>309</v>
      </c>
      <c r="H178" s="246">
        <v>3</v>
      </c>
      <c r="I178" s="247"/>
      <c r="J178" s="248">
        <f t="shared" si="20"/>
        <v>0</v>
      </c>
      <c r="K178" s="249"/>
      <c r="L178" s="153"/>
      <c r="M178" s="250" t="s">
        <v>4</v>
      </c>
      <c r="N178" s="251" t="s">
        <v>1539</v>
      </c>
      <c r="P178" s="238">
        <f t="shared" si="21"/>
        <v>0</v>
      </c>
      <c r="Q178" s="238">
        <v>0</v>
      </c>
      <c r="R178" s="238">
        <f t="shared" si="22"/>
        <v>0</v>
      </c>
      <c r="S178" s="238">
        <v>0</v>
      </c>
      <c r="T178" s="239">
        <f t="shared" si="23"/>
        <v>0</v>
      </c>
      <c r="AR178" s="240" t="s">
        <v>93</v>
      </c>
      <c r="AT178" s="240" t="s">
        <v>1598</v>
      </c>
      <c r="AU178" s="240" t="s">
        <v>221</v>
      </c>
      <c r="AY178" s="146" t="s">
        <v>1590</v>
      </c>
      <c r="BE178" s="241">
        <f t="shared" si="24"/>
        <v>0</v>
      </c>
      <c r="BF178" s="241">
        <f t="shared" si="25"/>
        <v>0</v>
      </c>
      <c r="BG178" s="241">
        <f t="shared" si="26"/>
        <v>0</v>
      </c>
      <c r="BH178" s="241">
        <f t="shared" si="27"/>
        <v>0</v>
      </c>
      <c r="BI178" s="241">
        <f t="shared" si="28"/>
        <v>0</v>
      </c>
      <c r="BJ178" s="146" t="s">
        <v>213</v>
      </c>
      <c r="BK178" s="241">
        <f t="shared" si="29"/>
        <v>0</v>
      </c>
      <c r="BL178" s="146" t="s">
        <v>93</v>
      </c>
      <c r="BM178" s="240" t="s">
        <v>1722</v>
      </c>
    </row>
    <row r="179" spans="2:65" s="152" customFormat="1" ht="16.5" customHeight="1" x14ac:dyDescent="0.25">
      <c r="B179" s="226"/>
      <c r="C179" s="227" t="s">
        <v>354</v>
      </c>
      <c r="D179" s="227" t="s">
        <v>1593</v>
      </c>
      <c r="E179" s="228" t="s">
        <v>1723</v>
      </c>
      <c r="F179" s="229" t="s">
        <v>1724</v>
      </c>
      <c r="G179" s="230" t="s">
        <v>1631</v>
      </c>
      <c r="H179" s="231">
        <v>3</v>
      </c>
      <c r="I179" s="232"/>
      <c r="J179" s="233">
        <f t="shared" si="20"/>
        <v>0</v>
      </c>
      <c r="K179" s="234"/>
      <c r="L179" s="235"/>
      <c r="M179" s="236" t="s">
        <v>4</v>
      </c>
      <c r="N179" s="237" t="s">
        <v>1539</v>
      </c>
      <c r="P179" s="238">
        <f t="shared" si="21"/>
        <v>0</v>
      </c>
      <c r="Q179" s="238">
        <v>0</v>
      </c>
      <c r="R179" s="238">
        <f t="shared" si="22"/>
        <v>0</v>
      </c>
      <c r="S179" s="238">
        <v>0</v>
      </c>
      <c r="T179" s="239">
        <f t="shared" si="23"/>
        <v>0</v>
      </c>
      <c r="AR179" s="240" t="s">
        <v>316</v>
      </c>
      <c r="AT179" s="240" t="s">
        <v>1593</v>
      </c>
      <c r="AU179" s="240" t="s">
        <v>221</v>
      </c>
      <c r="AY179" s="146" t="s">
        <v>1590</v>
      </c>
      <c r="BE179" s="241">
        <f t="shared" si="24"/>
        <v>0</v>
      </c>
      <c r="BF179" s="241">
        <f t="shared" si="25"/>
        <v>0</v>
      </c>
      <c r="BG179" s="241">
        <f t="shared" si="26"/>
        <v>0</v>
      </c>
      <c r="BH179" s="241">
        <f t="shared" si="27"/>
        <v>0</v>
      </c>
      <c r="BI179" s="241">
        <f t="shared" si="28"/>
        <v>0</v>
      </c>
      <c r="BJ179" s="146" t="s">
        <v>213</v>
      </c>
      <c r="BK179" s="241">
        <f t="shared" si="29"/>
        <v>0</v>
      </c>
      <c r="BL179" s="146" t="s">
        <v>93</v>
      </c>
      <c r="BM179" s="240" t="s">
        <v>1725</v>
      </c>
    </row>
    <row r="180" spans="2:65" s="152" customFormat="1" ht="24.2" customHeight="1" x14ac:dyDescent="0.25">
      <c r="B180" s="226"/>
      <c r="C180" s="242" t="s">
        <v>358</v>
      </c>
      <c r="D180" s="242" t="s">
        <v>1598</v>
      </c>
      <c r="E180" s="243" t="s">
        <v>1726</v>
      </c>
      <c r="F180" s="244" t="s">
        <v>1727</v>
      </c>
      <c r="G180" s="245" t="s">
        <v>309</v>
      </c>
      <c r="H180" s="246">
        <v>88</v>
      </c>
      <c r="I180" s="247"/>
      <c r="J180" s="248">
        <f t="shared" si="20"/>
        <v>0</v>
      </c>
      <c r="K180" s="249"/>
      <c r="L180" s="153"/>
      <c r="M180" s="250" t="s">
        <v>4</v>
      </c>
      <c r="N180" s="251" t="s">
        <v>1539</v>
      </c>
      <c r="P180" s="238">
        <f t="shared" si="21"/>
        <v>0</v>
      </c>
      <c r="Q180" s="238">
        <v>0</v>
      </c>
      <c r="R180" s="238">
        <f t="shared" si="22"/>
        <v>0</v>
      </c>
      <c r="S180" s="238">
        <v>0</v>
      </c>
      <c r="T180" s="239">
        <f t="shared" si="23"/>
        <v>0</v>
      </c>
      <c r="AR180" s="240" t="s">
        <v>93</v>
      </c>
      <c r="AT180" s="240" t="s">
        <v>1598</v>
      </c>
      <c r="AU180" s="240" t="s">
        <v>221</v>
      </c>
      <c r="AY180" s="146" t="s">
        <v>1590</v>
      </c>
      <c r="BE180" s="241">
        <f t="shared" si="24"/>
        <v>0</v>
      </c>
      <c r="BF180" s="241">
        <f t="shared" si="25"/>
        <v>0</v>
      </c>
      <c r="BG180" s="241">
        <f t="shared" si="26"/>
        <v>0</v>
      </c>
      <c r="BH180" s="241">
        <f t="shared" si="27"/>
        <v>0</v>
      </c>
      <c r="BI180" s="241">
        <f t="shared" si="28"/>
        <v>0</v>
      </c>
      <c r="BJ180" s="146" t="s">
        <v>213</v>
      </c>
      <c r="BK180" s="241">
        <f t="shared" si="29"/>
        <v>0</v>
      </c>
      <c r="BL180" s="146" t="s">
        <v>93</v>
      </c>
      <c r="BM180" s="240" t="s">
        <v>1728</v>
      </c>
    </row>
    <row r="181" spans="2:65" s="152" customFormat="1" ht="16.5" customHeight="1" x14ac:dyDescent="0.25">
      <c r="B181" s="226"/>
      <c r="C181" s="227" t="s">
        <v>363</v>
      </c>
      <c r="D181" s="227" t="s">
        <v>1593</v>
      </c>
      <c r="E181" s="228" t="s">
        <v>1729</v>
      </c>
      <c r="F181" s="229" t="s">
        <v>1730</v>
      </c>
      <c r="G181" s="230" t="s">
        <v>1631</v>
      </c>
      <c r="H181" s="231">
        <v>88</v>
      </c>
      <c r="I181" s="232"/>
      <c r="J181" s="233">
        <f t="shared" si="20"/>
        <v>0</v>
      </c>
      <c r="K181" s="234"/>
      <c r="L181" s="235"/>
      <c r="M181" s="236" t="s">
        <v>4</v>
      </c>
      <c r="N181" s="237" t="s">
        <v>1539</v>
      </c>
      <c r="P181" s="238">
        <f t="shared" si="21"/>
        <v>0</v>
      </c>
      <c r="Q181" s="238">
        <v>0</v>
      </c>
      <c r="R181" s="238">
        <f t="shared" si="22"/>
        <v>0</v>
      </c>
      <c r="S181" s="238">
        <v>0</v>
      </c>
      <c r="T181" s="239">
        <f t="shared" si="23"/>
        <v>0</v>
      </c>
      <c r="AR181" s="240" t="s">
        <v>316</v>
      </c>
      <c r="AT181" s="240" t="s">
        <v>1593</v>
      </c>
      <c r="AU181" s="240" t="s">
        <v>221</v>
      </c>
      <c r="AY181" s="146" t="s">
        <v>1590</v>
      </c>
      <c r="BE181" s="241">
        <f t="shared" si="24"/>
        <v>0</v>
      </c>
      <c r="BF181" s="241">
        <f t="shared" si="25"/>
        <v>0</v>
      </c>
      <c r="BG181" s="241">
        <f t="shared" si="26"/>
        <v>0</v>
      </c>
      <c r="BH181" s="241">
        <f t="shared" si="27"/>
        <v>0</v>
      </c>
      <c r="BI181" s="241">
        <f t="shared" si="28"/>
        <v>0</v>
      </c>
      <c r="BJ181" s="146" t="s">
        <v>213</v>
      </c>
      <c r="BK181" s="241">
        <f t="shared" si="29"/>
        <v>0</v>
      </c>
      <c r="BL181" s="146" t="s">
        <v>93</v>
      </c>
      <c r="BM181" s="240" t="s">
        <v>1731</v>
      </c>
    </row>
    <row r="182" spans="2:65" s="152" customFormat="1" ht="24.2" customHeight="1" x14ac:dyDescent="0.25">
      <c r="B182" s="226"/>
      <c r="C182" s="242" t="s">
        <v>366</v>
      </c>
      <c r="D182" s="242" t="s">
        <v>1598</v>
      </c>
      <c r="E182" s="243" t="s">
        <v>1732</v>
      </c>
      <c r="F182" s="244" t="s">
        <v>1733</v>
      </c>
      <c r="G182" s="245" t="s">
        <v>309</v>
      </c>
      <c r="H182" s="246">
        <v>4</v>
      </c>
      <c r="I182" s="247"/>
      <c r="J182" s="248">
        <f t="shared" si="20"/>
        <v>0</v>
      </c>
      <c r="K182" s="249"/>
      <c r="L182" s="153"/>
      <c r="M182" s="250" t="s">
        <v>4</v>
      </c>
      <c r="N182" s="251" t="s">
        <v>1539</v>
      </c>
      <c r="P182" s="238">
        <f t="shared" si="21"/>
        <v>0</v>
      </c>
      <c r="Q182" s="238">
        <v>0</v>
      </c>
      <c r="R182" s="238">
        <f t="shared" si="22"/>
        <v>0</v>
      </c>
      <c r="S182" s="238">
        <v>0</v>
      </c>
      <c r="T182" s="239">
        <f t="shared" si="23"/>
        <v>0</v>
      </c>
      <c r="AR182" s="240" t="s">
        <v>93</v>
      </c>
      <c r="AT182" s="240" t="s">
        <v>1598</v>
      </c>
      <c r="AU182" s="240" t="s">
        <v>221</v>
      </c>
      <c r="AY182" s="146" t="s">
        <v>1590</v>
      </c>
      <c r="BE182" s="241">
        <f t="shared" si="24"/>
        <v>0</v>
      </c>
      <c r="BF182" s="241">
        <f t="shared" si="25"/>
        <v>0</v>
      </c>
      <c r="BG182" s="241">
        <f t="shared" si="26"/>
        <v>0</v>
      </c>
      <c r="BH182" s="241">
        <f t="shared" si="27"/>
        <v>0</v>
      </c>
      <c r="BI182" s="241">
        <f t="shared" si="28"/>
        <v>0</v>
      </c>
      <c r="BJ182" s="146" t="s">
        <v>213</v>
      </c>
      <c r="BK182" s="241">
        <f t="shared" si="29"/>
        <v>0</v>
      </c>
      <c r="BL182" s="146" t="s">
        <v>93</v>
      </c>
      <c r="BM182" s="240" t="s">
        <v>1734</v>
      </c>
    </row>
    <row r="183" spans="2:65" s="152" customFormat="1" ht="16.5" customHeight="1" x14ac:dyDescent="0.25">
      <c r="B183" s="226"/>
      <c r="C183" s="227" t="s">
        <v>369</v>
      </c>
      <c r="D183" s="227" t="s">
        <v>1593</v>
      </c>
      <c r="E183" s="228" t="s">
        <v>1735</v>
      </c>
      <c r="F183" s="229" t="s">
        <v>1736</v>
      </c>
      <c r="G183" s="230" t="s">
        <v>309</v>
      </c>
      <c r="H183" s="231">
        <v>4</v>
      </c>
      <c r="I183" s="232"/>
      <c r="J183" s="233">
        <f t="shared" si="20"/>
        <v>0</v>
      </c>
      <c r="K183" s="234"/>
      <c r="L183" s="235"/>
      <c r="M183" s="236" t="s">
        <v>4</v>
      </c>
      <c r="N183" s="237" t="s">
        <v>1539</v>
      </c>
      <c r="P183" s="238">
        <f t="shared" si="21"/>
        <v>0</v>
      </c>
      <c r="Q183" s="238">
        <v>6.4000000000000005E-4</v>
      </c>
      <c r="R183" s="238">
        <f t="shared" si="22"/>
        <v>2.5600000000000002E-3</v>
      </c>
      <c r="S183" s="238">
        <v>0</v>
      </c>
      <c r="T183" s="239">
        <f t="shared" si="23"/>
        <v>0</v>
      </c>
      <c r="AR183" s="240" t="s">
        <v>316</v>
      </c>
      <c r="AT183" s="240" t="s">
        <v>1593</v>
      </c>
      <c r="AU183" s="240" t="s">
        <v>221</v>
      </c>
      <c r="AY183" s="146" t="s">
        <v>1590</v>
      </c>
      <c r="BE183" s="241">
        <f t="shared" si="24"/>
        <v>0</v>
      </c>
      <c r="BF183" s="241">
        <f t="shared" si="25"/>
        <v>0</v>
      </c>
      <c r="BG183" s="241">
        <f t="shared" si="26"/>
        <v>0</v>
      </c>
      <c r="BH183" s="241">
        <f t="shared" si="27"/>
        <v>0</v>
      </c>
      <c r="BI183" s="241">
        <f t="shared" si="28"/>
        <v>0</v>
      </c>
      <c r="BJ183" s="146" t="s">
        <v>213</v>
      </c>
      <c r="BK183" s="241">
        <f t="shared" si="29"/>
        <v>0</v>
      </c>
      <c r="BL183" s="146" t="s">
        <v>93</v>
      </c>
      <c r="BM183" s="240" t="s">
        <v>1737</v>
      </c>
    </row>
    <row r="184" spans="2:65" s="152" customFormat="1" ht="21.75" customHeight="1" x14ac:dyDescent="0.25">
      <c r="B184" s="226"/>
      <c r="C184" s="242" t="s">
        <v>372</v>
      </c>
      <c r="D184" s="242" t="s">
        <v>1598</v>
      </c>
      <c r="E184" s="243" t="s">
        <v>1738</v>
      </c>
      <c r="F184" s="244" t="s">
        <v>1739</v>
      </c>
      <c r="G184" s="245" t="s">
        <v>309</v>
      </c>
      <c r="H184" s="246">
        <v>92</v>
      </c>
      <c r="I184" s="247"/>
      <c r="J184" s="248">
        <f t="shared" si="20"/>
        <v>0</v>
      </c>
      <c r="K184" s="249"/>
      <c r="L184" s="153"/>
      <c r="M184" s="250" t="s">
        <v>4</v>
      </c>
      <c r="N184" s="251" t="s">
        <v>1539</v>
      </c>
      <c r="P184" s="238">
        <f t="shared" si="21"/>
        <v>0</v>
      </c>
      <c r="Q184" s="238">
        <v>0</v>
      </c>
      <c r="R184" s="238">
        <f t="shared" si="22"/>
        <v>0</v>
      </c>
      <c r="S184" s="238">
        <v>0</v>
      </c>
      <c r="T184" s="239">
        <f t="shared" si="23"/>
        <v>0</v>
      </c>
      <c r="AR184" s="240" t="s">
        <v>93</v>
      </c>
      <c r="AT184" s="240" t="s">
        <v>1598</v>
      </c>
      <c r="AU184" s="240" t="s">
        <v>221</v>
      </c>
      <c r="AY184" s="146" t="s">
        <v>1590</v>
      </c>
      <c r="BE184" s="241">
        <f t="shared" si="24"/>
        <v>0</v>
      </c>
      <c r="BF184" s="241">
        <f t="shared" si="25"/>
        <v>0</v>
      </c>
      <c r="BG184" s="241">
        <f t="shared" si="26"/>
        <v>0</v>
      </c>
      <c r="BH184" s="241">
        <f t="shared" si="27"/>
        <v>0</v>
      </c>
      <c r="BI184" s="241">
        <f t="shared" si="28"/>
        <v>0</v>
      </c>
      <c r="BJ184" s="146" t="s">
        <v>213</v>
      </c>
      <c r="BK184" s="241">
        <f t="shared" si="29"/>
        <v>0</v>
      </c>
      <c r="BL184" s="146" t="s">
        <v>93</v>
      </c>
      <c r="BM184" s="240" t="s">
        <v>1740</v>
      </c>
    </row>
    <row r="185" spans="2:65" s="152" customFormat="1" ht="16.5" customHeight="1" x14ac:dyDescent="0.25">
      <c r="B185" s="226"/>
      <c r="C185" s="242" t="s">
        <v>375</v>
      </c>
      <c r="D185" s="242" t="s">
        <v>1598</v>
      </c>
      <c r="E185" s="243" t="s">
        <v>1741</v>
      </c>
      <c r="F185" s="244" t="s">
        <v>1742</v>
      </c>
      <c r="G185" s="245" t="s">
        <v>309</v>
      </c>
      <c r="H185" s="246">
        <v>1</v>
      </c>
      <c r="I185" s="247"/>
      <c r="J185" s="248">
        <f t="shared" si="20"/>
        <v>0</v>
      </c>
      <c r="K185" s="249"/>
      <c r="L185" s="153"/>
      <c r="M185" s="250" t="s">
        <v>4</v>
      </c>
      <c r="N185" s="251" t="s">
        <v>1539</v>
      </c>
      <c r="P185" s="238">
        <f t="shared" si="21"/>
        <v>0</v>
      </c>
      <c r="Q185" s="238">
        <v>0</v>
      </c>
      <c r="R185" s="238">
        <f t="shared" si="22"/>
        <v>0</v>
      </c>
      <c r="S185" s="238">
        <v>0</v>
      </c>
      <c r="T185" s="239">
        <f t="shared" si="23"/>
        <v>0</v>
      </c>
      <c r="AR185" s="240" t="s">
        <v>93</v>
      </c>
      <c r="AT185" s="240" t="s">
        <v>1598</v>
      </c>
      <c r="AU185" s="240" t="s">
        <v>221</v>
      </c>
      <c r="AY185" s="146" t="s">
        <v>1590</v>
      </c>
      <c r="BE185" s="241">
        <f t="shared" si="24"/>
        <v>0</v>
      </c>
      <c r="BF185" s="241">
        <f t="shared" si="25"/>
        <v>0</v>
      </c>
      <c r="BG185" s="241">
        <f t="shared" si="26"/>
        <v>0</v>
      </c>
      <c r="BH185" s="241">
        <f t="shared" si="27"/>
        <v>0</v>
      </c>
      <c r="BI185" s="241">
        <f t="shared" si="28"/>
        <v>0</v>
      </c>
      <c r="BJ185" s="146" t="s">
        <v>213</v>
      </c>
      <c r="BK185" s="241">
        <f t="shared" si="29"/>
        <v>0</v>
      </c>
      <c r="BL185" s="146" t="s">
        <v>93</v>
      </c>
      <c r="BM185" s="240" t="s">
        <v>1743</v>
      </c>
    </row>
    <row r="186" spans="2:65" s="213" customFormat="1" ht="22.9" customHeight="1" x14ac:dyDescent="0.2">
      <c r="B186" s="214"/>
      <c r="D186" s="215" t="s">
        <v>1587</v>
      </c>
      <c r="E186" s="224" t="s">
        <v>1744</v>
      </c>
      <c r="F186" s="224" t="s">
        <v>1745</v>
      </c>
      <c r="I186" s="217"/>
      <c r="J186" s="225">
        <f>BK186</f>
        <v>0</v>
      </c>
      <c r="L186" s="214"/>
      <c r="M186" s="219"/>
      <c r="P186" s="220">
        <f>SUM(P187:P188)</f>
        <v>0</v>
      </c>
      <c r="R186" s="220">
        <f>SUM(R187:R188)</f>
        <v>1.3559999999999999E-2</v>
      </c>
      <c r="T186" s="221">
        <f>SUM(T187:T188)</f>
        <v>0</v>
      </c>
      <c r="AR186" s="215" t="s">
        <v>221</v>
      </c>
      <c r="AT186" s="222" t="s">
        <v>1587</v>
      </c>
      <c r="AU186" s="222" t="s">
        <v>213</v>
      </c>
      <c r="AY186" s="215" t="s">
        <v>1590</v>
      </c>
      <c r="BK186" s="223">
        <f>SUM(BK187:BK188)</f>
        <v>0</v>
      </c>
    </row>
    <row r="187" spans="2:65" s="152" customFormat="1" ht="24.2" customHeight="1" x14ac:dyDescent="0.25">
      <c r="B187" s="226"/>
      <c r="C187" s="242" t="s">
        <v>379</v>
      </c>
      <c r="D187" s="242" t="s">
        <v>1598</v>
      </c>
      <c r="E187" s="243" t="s">
        <v>1746</v>
      </c>
      <c r="F187" s="244" t="s">
        <v>1747</v>
      </c>
      <c r="G187" s="245" t="s">
        <v>313</v>
      </c>
      <c r="H187" s="246">
        <v>120</v>
      </c>
      <c r="I187" s="247"/>
      <c r="J187" s="248">
        <f>ROUND(I187*H187,2)</f>
        <v>0</v>
      </c>
      <c r="K187" s="249"/>
      <c r="L187" s="153"/>
      <c r="M187" s="250" t="s">
        <v>4</v>
      </c>
      <c r="N187" s="251" t="s">
        <v>1539</v>
      </c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AR187" s="240" t="s">
        <v>93</v>
      </c>
      <c r="AT187" s="240" t="s">
        <v>1598</v>
      </c>
      <c r="AU187" s="240" t="s">
        <v>221</v>
      </c>
      <c r="AY187" s="146" t="s">
        <v>1590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46" t="s">
        <v>213</v>
      </c>
      <c r="BK187" s="241">
        <f>ROUND(I187*H187,2)</f>
        <v>0</v>
      </c>
      <c r="BL187" s="146" t="s">
        <v>93</v>
      </c>
      <c r="BM187" s="240" t="s">
        <v>1748</v>
      </c>
    </row>
    <row r="188" spans="2:65" s="152" customFormat="1" ht="21.75" customHeight="1" x14ac:dyDescent="0.25">
      <c r="B188" s="226"/>
      <c r="C188" s="227" t="s">
        <v>382</v>
      </c>
      <c r="D188" s="227" t="s">
        <v>1593</v>
      </c>
      <c r="E188" s="228" t="s">
        <v>1749</v>
      </c>
      <c r="F188" s="229" t="s">
        <v>1750</v>
      </c>
      <c r="G188" s="230" t="s">
        <v>313</v>
      </c>
      <c r="H188" s="231">
        <v>120</v>
      </c>
      <c r="I188" s="232"/>
      <c r="J188" s="233">
        <f>ROUND(I188*H188,2)</f>
        <v>0</v>
      </c>
      <c r="K188" s="234"/>
      <c r="L188" s="235"/>
      <c r="M188" s="236" t="s">
        <v>4</v>
      </c>
      <c r="N188" s="237" t="s">
        <v>1539</v>
      </c>
      <c r="P188" s="238">
        <f>O188*H188</f>
        <v>0</v>
      </c>
      <c r="Q188" s="238">
        <v>1.13E-4</v>
      </c>
      <c r="R188" s="238">
        <f>Q188*H188</f>
        <v>1.3559999999999999E-2</v>
      </c>
      <c r="S188" s="238">
        <v>0</v>
      </c>
      <c r="T188" s="239">
        <f>S188*H188</f>
        <v>0</v>
      </c>
      <c r="AR188" s="240" t="s">
        <v>316</v>
      </c>
      <c r="AT188" s="240" t="s">
        <v>1593</v>
      </c>
      <c r="AU188" s="240" t="s">
        <v>221</v>
      </c>
      <c r="AY188" s="146" t="s">
        <v>1590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46" t="s">
        <v>213</v>
      </c>
      <c r="BK188" s="241">
        <f>ROUND(I188*H188,2)</f>
        <v>0</v>
      </c>
      <c r="BL188" s="146" t="s">
        <v>93</v>
      </c>
      <c r="BM188" s="240" t="s">
        <v>1751</v>
      </c>
    </row>
    <row r="189" spans="2:65" s="213" customFormat="1" ht="22.9" customHeight="1" x14ac:dyDescent="0.2">
      <c r="B189" s="214"/>
      <c r="D189" s="215" t="s">
        <v>1587</v>
      </c>
      <c r="E189" s="224" t="s">
        <v>1752</v>
      </c>
      <c r="F189" s="224" t="s">
        <v>1753</v>
      </c>
      <c r="I189" s="217"/>
      <c r="J189" s="225">
        <f>BK189</f>
        <v>0</v>
      </c>
      <c r="L189" s="214"/>
      <c r="M189" s="219"/>
      <c r="P189" s="220">
        <f>SUM(P190:P193)</f>
        <v>0</v>
      </c>
      <c r="R189" s="220">
        <f>SUM(R190:R193)</f>
        <v>3.0000000000000003E-4</v>
      </c>
      <c r="T189" s="221">
        <f>SUM(T190:T193)</f>
        <v>0</v>
      </c>
      <c r="AR189" s="215" t="s">
        <v>221</v>
      </c>
      <c r="AT189" s="222" t="s">
        <v>1587</v>
      </c>
      <c r="AU189" s="222" t="s">
        <v>213</v>
      </c>
      <c r="AY189" s="215" t="s">
        <v>1590</v>
      </c>
      <c r="BK189" s="223">
        <f>SUM(BK190:BK193)</f>
        <v>0</v>
      </c>
    </row>
    <row r="190" spans="2:65" s="152" customFormat="1" ht="24.2" customHeight="1" x14ac:dyDescent="0.25">
      <c r="B190" s="226"/>
      <c r="C190" s="242" t="s">
        <v>385</v>
      </c>
      <c r="D190" s="242" t="s">
        <v>1598</v>
      </c>
      <c r="E190" s="243" t="s">
        <v>1754</v>
      </c>
      <c r="F190" s="244" t="s">
        <v>1755</v>
      </c>
      <c r="G190" s="245" t="s">
        <v>309</v>
      </c>
      <c r="H190" s="246">
        <v>3</v>
      </c>
      <c r="I190" s="247"/>
      <c r="J190" s="248">
        <f>ROUND(I190*H190,2)</f>
        <v>0</v>
      </c>
      <c r="K190" s="249"/>
      <c r="L190" s="153"/>
      <c r="M190" s="250" t="s">
        <v>4</v>
      </c>
      <c r="N190" s="251" t="s">
        <v>1539</v>
      </c>
      <c r="P190" s="238">
        <f>O190*H190</f>
        <v>0</v>
      </c>
      <c r="Q190" s="238">
        <v>0</v>
      </c>
      <c r="R190" s="238">
        <f>Q190*H190</f>
        <v>0</v>
      </c>
      <c r="S190" s="238">
        <v>0</v>
      </c>
      <c r="T190" s="239">
        <f>S190*H190</f>
        <v>0</v>
      </c>
      <c r="AR190" s="240" t="s">
        <v>93</v>
      </c>
      <c r="AT190" s="240" t="s">
        <v>1598</v>
      </c>
      <c r="AU190" s="240" t="s">
        <v>221</v>
      </c>
      <c r="AY190" s="146" t="s">
        <v>1590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46" t="s">
        <v>213</v>
      </c>
      <c r="BK190" s="241">
        <f>ROUND(I190*H190,2)</f>
        <v>0</v>
      </c>
      <c r="BL190" s="146" t="s">
        <v>93</v>
      </c>
      <c r="BM190" s="240" t="s">
        <v>1756</v>
      </c>
    </row>
    <row r="191" spans="2:65" s="152" customFormat="1" ht="16.5" customHeight="1" x14ac:dyDescent="0.25">
      <c r="B191" s="226"/>
      <c r="C191" s="227" t="s">
        <v>388</v>
      </c>
      <c r="D191" s="227" t="s">
        <v>1593</v>
      </c>
      <c r="E191" s="228" t="s">
        <v>1757</v>
      </c>
      <c r="F191" s="229" t="s">
        <v>1758</v>
      </c>
      <c r="G191" s="230" t="s">
        <v>1631</v>
      </c>
      <c r="H191" s="231">
        <v>3</v>
      </c>
      <c r="I191" s="232"/>
      <c r="J191" s="233">
        <f>ROUND(I191*H191,2)</f>
        <v>0</v>
      </c>
      <c r="K191" s="234"/>
      <c r="L191" s="235"/>
      <c r="M191" s="236" t="s">
        <v>4</v>
      </c>
      <c r="N191" s="237" t="s">
        <v>1539</v>
      </c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AR191" s="240" t="s">
        <v>316</v>
      </c>
      <c r="AT191" s="240" t="s">
        <v>1593</v>
      </c>
      <c r="AU191" s="240" t="s">
        <v>221</v>
      </c>
      <c r="AY191" s="146" t="s">
        <v>1590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46" t="s">
        <v>213</v>
      </c>
      <c r="BK191" s="241">
        <f>ROUND(I191*H191,2)</f>
        <v>0</v>
      </c>
      <c r="BL191" s="146" t="s">
        <v>93</v>
      </c>
      <c r="BM191" s="240" t="s">
        <v>1759</v>
      </c>
    </row>
    <row r="192" spans="2:65" s="152" customFormat="1" ht="21.75" customHeight="1" x14ac:dyDescent="0.25">
      <c r="B192" s="226"/>
      <c r="C192" s="242" t="s">
        <v>391</v>
      </c>
      <c r="D192" s="242" t="s">
        <v>1598</v>
      </c>
      <c r="E192" s="243" t="s">
        <v>1760</v>
      </c>
      <c r="F192" s="244" t="s">
        <v>1761</v>
      </c>
      <c r="G192" s="245" t="s">
        <v>309</v>
      </c>
      <c r="H192" s="246">
        <v>3</v>
      </c>
      <c r="I192" s="247"/>
      <c r="J192" s="248">
        <f>ROUND(I192*H192,2)</f>
        <v>0</v>
      </c>
      <c r="K192" s="249"/>
      <c r="L192" s="153"/>
      <c r="M192" s="250" t="s">
        <v>4</v>
      </c>
      <c r="N192" s="251" t="s">
        <v>1539</v>
      </c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AR192" s="240" t="s">
        <v>93</v>
      </c>
      <c r="AT192" s="240" t="s">
        <v>1598</v>
      </c>
      <c r="AU192" s="240" t="s">
        <v>221</v>
      </c>
      <c r="AY192" s="146" t="s">
        <v>1590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46" t="s">
        <v>213</v>
      </c>
      <c r="BK192" s="241">
        <f>ROUND(I192*H192,2)</f>
        <v>0</v>
      </c>
      <c r="BL192" s="146" t="s">
        <v>93</v>
      </c>
      <c r="BM192" s="240" t="s">
        <v>1762</v>
      </c>
    </row>
    <row r="193" spans="2:65" s="152" customFormat="1" ht="16.5" customHeight="1" x14ac:dyDescent="0.25">
      <c r="B193" s="226"/>
      <c r="C193" s="227" t="s">
        <v>113</v>
      </c>
      <c r="D193" s="227" t="s">
        <v>1593</v>
      </c>
      <c r="E193" s="228" t="s">
        <v>1763</v>
      </c>
      <c r="F193" s="229" t="s">
        <v>1764</v>
      </c>
      <c r="G193" s="230" t="s">
        <v>309</v>
      </c>
      <c r="H193" s="231">
        <v>3</v>
      </c>
      <c r="I193" s="232"/>
      <c r="J193" s="233">
        <f>ROUND(I193*H193,2)</f>
        <v>0</v>
      </c>
      <c r="K193" s="234"/>
      <c r="L193" s="235"/>
      <c r="M193" s="236" t="s">
        <v>4</v>
      </c>
      <c r="N193" s="237" t="s">
        <v>1539</v>
      </c>
      <c r="P193" s="238">
        <f>O193*H193</f>
        <v>0</v>
      </c>
      <c r="Q193" s="238">
        <v>1E-4</v>
      </c>
      <c r="R193" s="238">
        <f>Q193*H193</f>
        <v>3.0000000000000003E-4</v>
      </c>
      <c r="S193" s="238">
        <v>0</v>
      </c>
      <c r="T193" s="239">
        <f>S193*H193</f>
        <v>0</v>
      </c>
      <c r="AR193" s="240" t="s">
        <v>316</v>
      </c>
      <c r="AT193" s="240" t="s">
        <v>1593</v>
      </c>
      <c r="AU193" s="240" t="s">
        <v>221</v>
      </c>
      <c r="AY193" s="146" t="s">
        <v>1590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46" t="s">
        <v>213</v>
      </c>
      <c r="BK193" s="241">
        <f>ROUND(I193*H193,2)</f>
        <v>0</v>
      </c>
      <c r="BL193" s="146" t="s">
        <v>93</v>
      </c>
      <c r="BM193" s="240" t="s">
        <v>1765</v>
      </c>
    </row>
    <row r="194" spans="2:65" s="213" customFormat="1" ht="22.9" customHeight="1" x14ac:dyDescent="0.2">
      <c r="B194" s="214"/>
      <c r="D194" s="215" t="s">
        <v>1587</v>
      </c>
      <c r="E194" s="224" t="s">
        <v>1766</v>
      </c>
      <c r="F194" s="224" t="s">
        <v>1767</v>
      </c>
      <c r="I194" s="217"/>
      <c r="J194" s="225">
        <f>BK194</f>
        <v>0</v>
      </c>
      <c r="L194" s="214"/>
      <c r="M194" s="219"/>
      <c r="P194" s="220">
        <f>SUM(P195:P196)</f>
        <v>0</v>
      </c>
      <c r="R194" s="220">
        <f>SUM(R195:R196)</f>
        <v>0</v>
      </c>
      <c r="T194" s="221">
        <f>SUM(T195:T196)</f>
        <v>0</v>
      </c>
      <c r="AR194" s="215" t="s">
        <v>221</v>
      </c>
      <c r="AT194" s="222" t="s">
        <v>1587</v>
      </c>
      <c r="AU194" s="222" t="s">
        <v>213</v>
      </c>
      <c r="AY194" s="215" t="s">
        <v>1590</v>
      </c>
      <c r="BK194" s="223">
        <f>SUM(BK195:BK196)</f>
        <v>0</v>
      </c>
    </row>
    <row r="195" spans="2:65" s="152" customFormat="1" ht="21.75" customHeight="1" x14ac:dyDescent="0.25">
      <c r="B195" s="226"/>
      <c r="C195" s="242" t="s">
        <v>396</v>
      </c>
      <c r="D195" s="242" t="s">
        <v>1598</v>
      </c>
      <c r="E195" s="243" t="s">
        <v>1768</v>
      </c>
      <c r="F195" s="244" t="s">
        <v>1769</v>
      </c>
      <c r="G195" s="245" t="s">
        <v>309</v>
      </c>
      <c r="H195" s="246">
        <v>5</v>
      </c>
      <c r="I195" s="247"/>
      <c r="J195" s="248">
        <f>ROUND(I195*H195,2)</f>
        <v>0</v>
      </c>
      <c r="K195" s="249"/>
      <c r="L195" s="153"/>
      <c r="M195" s="250" t="s">
        <v>4</v>
      </c>
      <c r="N195" s="251" t="s">
        <v>1539</v>
      </c>
      <c r="P195" s="238">
        <f>O195*H195</f>
        <v>0</v>
      </c>
      <c r="Q195" s="238">
        <v>0</v>
      </c>
      <c r="R195" s="238">
        <f>Q195*H195</f>
        <v>0</v>
      </c>
      <c r="S195" s="238">
        <v>0</v>
      </c>
      <c r="T195" s="239">
        <f>S195*H195</f>
        <v>0</v>
      </c>
      <c r="AR195" s="240" t="s">
        <v>93</v>
      </c>
      <c r="AT195" s="240" t="s">
        <v>1598</v>
      </c>
      <c r="AU195" s="240" t="s">
        <v>221</v>
      </c>
      <c r="AY195" s="146" t="s">
        <v>1590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46" t="s">
        <v>213</v>
      </c>
      <c r="BK195" s="241">
        <f>ROUND(I195*H195,2)</f>
        <v>0</v>
      </c>
      <c r="BL195" s="146" t="s">
        <v>93</v>
      </c>
      <c r="BM195" s="240" t="s">
        <v>1770</v>
      </c>
    </row>
    <row r="196" spans="2:65" s="152" customFormat="1" ht="24.2" customHeight="1" x14ac:dyDescent="0.25">
      <c r="B196" s="226"/>
      <c r="C196" s="227" t="s">
        <v>399</v>
      </c>
      <c r="D196" s="227" t="s">
        <v>1593</v>
      </c>
      <c r="E196" s="228" t="s">
        <v>1771</v>
      </c>
      <c r="F196" s="229" t="s">
        <v>1772</v>
      </c>
      <c r="G196" s="230" t="s">
        <v>1465</v>
      </c>
      <c r="H196" s="231">
        <v>5</v>
      </c>
      <c r="I196" s="232"/>
      <c r="J196" s="233">
        <f>ROUND(I196*H196,2)</f>
        <v>0</v>
      </c>
      <c r="K196" s="234"/>
      <c r="L196" s="235"/>
      <c r="M196" s="236" t="s">
        <v>4</v>
      </c>
      <c r="N196" s="237" t="s">
        <v>1539</v>
      </c>
      <c r="P196" s="238">
        <f>O196*H196</f>
        <v>0</v>
      </c>
      <c r="Q196" s="238">
        <v>0</v>
      </c>
      <c r="R196" s="238">
        <f>Q196*H196</f>
        <v>0</v>
      </c>
      <c r="S196" s="238">
        <v>0</v>
      </c>
      <c r="T196" s="239">
        <f>S196*H196</f>
        <v>0</v>
      </c>
      <c r="AR196" s="240" t="s">
        <v>316</v>
      </c>
      <c r="AT196" s="240" t="s">
        <v>1593</v>
      </c>
      <c r="AU196" s="240" t="s">
        <v>221</v>
      </c>
      <c r="AY196" s="146" t="s">
        <v>1590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46" t="s">
        <v>213</v>
      </c>
      <c r="BK196" s="241">
        <f>ROUND(I196*H196,2)</f>
        <v>0</v>
      </c>
      <c r="BL196" s="146" t="s">
        <v>93</v>
      </c>
      <c r="BM196" s="240" t="s">
        <v>1773</v>
      </c>
    </row>
    <row r="197" spans="2:65" s="213" customFormat="1" ht="25.9" customHeight="1" x14ac:dyDescent="0.2">
      <c r="B197" s="214"/>
      <c r="D197" s="215" t="s">
        <v>1587</v>
      </c>
      <c r="E197" s="216" t="s">
        <v>1593</v>
      </c>
      <c r="F197" s="216" t="s">
        <v>1774</v>
      </c>
      <c r="I197" s="217"/>
      <c r="J197" s="218">
        <f>BK197</f>
        <v>0</v>
      </c>
      <c r="L197" s="214"/>
      <c r="M197" s="219"/>
      <c r="P197" s="220">
        <f>P198</f>
        <v>0</v>
      </c>
      <c r="R197" s="220">
        <f>R198</f>
        <v>0.71811499999999995</v>
      </c>
      <c r="T197" s="221">
        <f>T198</f>
        <v>0</v>
      </c>
      <c r="AR197" s="215" t="s">
        <v>224</v>
      </c>
      <c r="AT197" s="222" t="s">
        <v>1587</v>
      </c>
      <c r="AU197" s="222" t="s">
        <v>1589</v>
      </c>
      <c r="AY197" s="215" t="s">
        <v>1590</v>
      </c>
      <c r="BK197" s="223">
        <f>BK198</f>
        <v>0</v>
      </c>
    </row>
    <row r="198" spans="2:65" s="213" customFormat="1" ht="22.9" customHeight="1" x14ac:dyDescent="0.2">
      <c r="B198" s="214"/>
      <c r="D198" s="215" t="s">
        <v>1587</v>
      </c>
      <c r="E198" s="224" t="s">
        <v>1775</v>
      </c>
      <c r="F198" s="224" t="s">
        <v>174</v>
      </c>
      <c r="I198" s="217"/>
      <c r="J198" s="225">
        <f>BK198</f>
        <v>0</v>
      </c>
      <c r="L198" s="214"/>
      <c r="M198" s="219"/>
      <c r="P198" s="220">
        <f>SUM(P199:P269)</f>
        <v>0</v>
      </c>
      <c r="R198" s="220">
        <f>SUM(R199:R269)</f>
        <v>0.71811499999999995</v>
      </c>
      <c r="T198" s="221">
        <f>SUM(T199:T269)</f>
        <v>0</v>
      </c>
      <c r="AR198" s="215" t="s">
        <v>224</v>
      </c>
      <c r="AT198" s="222" t="s">
        <v>1587</v>
      </c>
      <c r="AU198" s="222" t="s">
        <v>213</v>
      </c>
      <c r="AY198" s="215" t="s">
        <v>1590</v>
      </c>
      <c r="BK198" s="223">
        <f>SUM(BK199:BK269)</f>
        <v>0</v>
      </c>
    </row>
    <row r="199" spans="2:65" s="152" customFormat="1" ht="16.5" customHeight="1" x14ac:dyDescent="0.25">
      <c r="B199" s="226"/>
      <c r="C199" s="227" t="s">
        <v>115</v>
      </c>
      <c r="D199" s="227" t="s">
        <v>1593</v>
      </c>
      <c r="E199" s="228" t="s">
        <v>1776</v>
      </c>
      <c r="F199" s="229" t="s">
        <v>1777</v>
      </c>
      <c r="G199" s="230" t="s">
        <v>1465</v>
      </c>
      <c r="H199" s="231">
        <v>15</v>
      </c>
      <c r="I199" s="232"/>
      <c r="J199" s="233">
        <f t="shared" ref="J199:J262" si="30">ROUND(I199*H199,2)</f>
        <v>0</v>
      </c>
      <c r="K199" s="234"/>
      <c r="L199" s="235"/>
      <c r="M199" s="236" t="s">
        <v>4</v>
      </c>
      <c r="N199" s="237" t="s">
        <v>1539</v>
      </c>
      <c r="P199" s="238">
        <f t="shared" ref="P199:P262" si="31">O199*H199</f>
        <v>0</v>
      </c>
      <c r="Q199" s="238">
        <v>0</v>
      </c>
      <c r="R199" s="238">
        <f t="shared" ref="R199:R262" si="32">Q199*H199</f>
        <v>0</v>
      </c>
      <c r="S199" s="238">
        <v>0</v>
      </c>
      <c r="T199" s="239">
        <f t="shared" ref="T199:T262" si="33">S199*H199</f>
        <v>0</v>
      </c>
      <c r="AR199" s="240" t="s">
        <v>1018</v>
      </c>
      <c r="AT199" s="240" t="s">
        <v>1593</v>
      </c>
      <c r="AU199" s="240" t="s">
        <v>221</v>
      </c>
      <c r="AY199" s="146" t="s">
        <v>1590</v>
      </c>
      <c r="BE199" s="241">
        <f t="shared" ref="BE199:BE262" si="34">IF(N199="základní",J199,0)</f>
        <v>0</v>
      </c>
      <c r="BF199" s="241">
        <f t="shared" ref="BF199:BF262" si="35">IF(N199="snížená",J199,0)</f>
        <v>0</v>
      </c>
      <c r="BG199" s="241">
        <f t="shared" ref="BG199:BG262" si="36">IF(N199="zákl. přenesená",J199,0)</f>
        <v>0</v>
      </c>
      <c r="BH199" s="241">
        <f t="shared" ref="BH199:BH262" si="37">IF(N199="sníž. přenesená",J199,0)</f>
        <v>0</v>
      </c>
      <c r="BI199" s="241">
        <f t="shared" ref="BI199:BI262" si="38">IF(N199="nulová",J199,0)</f>
        <v>0</v>
      </c>
      <c r="BJ199" s="146" t="s">
        <v>213</v>
      </c>
      <c r="BK199" s="241">
        <f t="shared" ref="BK199:BK262" si="39">ROUND(I199*H199,2)</f>
        <v>0</v>
      </c>
      <c r="BL199" s="146" t="s">
        <v>123</v>
      </c>
      <c r="BM199" s="240" t="s">
        <v>1778</v>
      </c>
    </row>
    <row r="200" spans="2:65" s="152" customFormat="1" ht="24.2" customHeight="1" x14ac:dyDescent="0.25">
      <c r="B200" s="226"/>
      <c r="C200" s="242" t="s">
        <v>406</v>
      </c>
      <c r="D200" s="242" t="s">
        <v>1598</v>
      </c>
      <c r="E200" s="243" t="s">
        <v>1779</v>
      </c>
      <c r="F200" s="244" t="s">
        <v>1780</v>
      </c>
      <c r="G200" s="245" t="s">
        <v>309</v>
      </c>
      <c r="H200" s="246">
        <v>4</v>
      </c>
      <c r="I200" s="247"/>
      <c r="J200" s="248">
        <f t="shared" si="30"/>
        <v>0</v>
      </c>
      <c r="K200" s="249"/>
      <c r="L200" s="153"/>
      <c r="M200" s="250" t="s">
        <v>4</v>
      </c>
      <c r="N200" s="251" t="s">
        <v>1539</v>
      </c>
      <c r="P200" s="238">
        <f t="shared" si="31"/>
        <v>0</v>
      </c>
      <c r="Q200" s="238">
        <v>0</v>
      </c>
      <c r="R200" s="238">
        <f t="shared" si="32"/>
        <v>0</v>
      </c>
      <c r="S200" s="238">
        <v>0</v>
      </c>
      <c r="T200" s="239">
        <f t="shared" si="33"/>
        <v>0</v>
      </c>
      <c r="AR200" s="240" t="s">
        <v>123</v>
      </c>
      <c r="AT200" s="240" t="s">
        <v>1598</v>
      </c>
      <c r="AU200" s="240" t="s">
        <v>221</v>
      </c>
      <c r="AY200" s="146" t="s">
        <v>1590</v>
      </c>
      <c r="BE200" s="241">
        <f t="shared" si="34"/>
        <v>0</v>
      </c>
      <c r="BF200" s="241">
        <f t="shared" si="35"/>
        <v>0</v>
      </c>
      <c r="BG200" s="241">
        <f t="shared" si="36"/>
        <v>0</v>
      </c>
      <c r="BH200" s="241">
        <f t="shared" si="37"/>
        <v>0</v>
      </c>
      <c r="BI200" s="241">
        <f t="shared" si="38"/>
        <v>0</v>
      </c>
      <c r="BJ200" s="146" t="s">
        <v>213</v>
      </c>
      <c r="BK200" s="241">
        <f t="shared" si="39"/>
        <v>0</v>
      </c>
      <c r="BL200" s="146" t="s">
        <v>123</v>
      </c>
      <c r="BM200" s="240" t="s">
        <v>1781</v>
      </c>
    </row>
    <row r="201" spans="2:65" s="152" customFormat="1" ht="16.5" customHeight="1" x14ac:dyDescent="0.25">
      <c r="B201" s="226"/>
      <c r="C201" s="227" t="s">
        <v>117</v>
      </c>
      <c r="D201" s="227" t="s">
        <v>1593</v>
      </c>
      <c r="E201" s="228" t="s">
        <v>1782</v>
      </c>
      <c r="F201" s="229" t="s">
        <v>1783</v>
      </c>
      <c r="G201" s="230" t="s">
        <v>1631</v>
      </c>
      <c r="H201" s="231">
        <v>4</v>
      </c>
      <c r="I201" s="232"/>
      <c r="J201" s="233">
        <f t="shared" si="30"/>
        <v>0</v>
      </c>
      <c r="K201" s="234"/>
      <c r="L201" s="235"/>
      <c r="M201" s="236" t="s">
        <v>4</v>
      </c>
      <c r="N201" s="237" t="s">
        <v>1539</v>
      </c>
      <c r="P201" s="238">
        <f t="shared" si="31"/>
        <v>0</v>
      </c>
      <c r="Q201" s="238">
        <v>0</v>
      </c>
      <c r="R201" s="238">
        <f t="shared" si="32"/>
        <v>0</v>
      </c>
      <c r="S201" s="238">
        <v>0</v>
      </c>
      <c r="T201" s="239">
        <f t="shared" si="33"/>
        <v>0</v>
      </c>
      <c r="AR201" s="240" t="s">
        <v>1018</v>
      </c>
      <c r="AT201" s="240" t="s">
        <v>1593</v>
      </c>
      <c r="AU201" s="240" t="s">
        <v>221</v>
      </c>
      <c r="AY201" s="146" t="s">
        <v>1590</v>
      </c>
      <c r="BE201" s="241">
        <f t="shared" si="34"/>
        <v>0</v>
      </c>
      <c r="BF201" s="241">
        <f t="shared" si="35"/>
        <v>0</v>
      </c>
      <c r="BG201" s="241">
        <f t="shared" si="36"/>
        <v>0</v>
      </c>
      <c r="BH201" s="241">
        <f t="shared" si="37"/>
        <v>0</v>
      </c>
      <c r="BI201" s="241">
        <f t="shared" si="38"/>
        <v>0</v>
      </c>
      <c r="BJ201" s="146" t="s">
        <v>213</v>
      </c>
      <c r="BK201" s="241">
        <f t="shared" si="39"/>
        <v>0</v>
      </c>
      <c r="BL201" s="146" t="s">
        <v>123</v>
      </c>
      <c r="BM201" s="240" t="s">
        <v>1784</v>
      </c>
    </row>
    <row r="202" spans="2:65" s="152" customFormat="1" ht="16.5" customHeight="1" x14ac:dyDescent="0.25">
      <c r="B202" s="226"/>
      <c r="C202" s="242" t="s">
        <v>119</v>
      </c>
      <c r="D202" s="242" t="s">
        <v>1598</v>
      </c>
      <c r="E202" s="243" t="s">
        <v>1785</v>
      </c>
      <c r="F202" s="244" t="s">
        <v>1786</v>
      </c>
      <c r="G202" s="245" t="s">
        <v>1465</v>
      </c>
      <c r="H202" s="246">
        <v>3</v>
      </c>
      <c r="I202" s="247"/>
      <c r="J202" s="248">
        <f t="shared" si="30"/>
        <v>0</v>
      </c>
      <c r="K202" s="249"/>
      <c r="L202" s="153"/>
      <c r="M202" s="250" t="s">
        <v>4</v>
      </c>
      <c r="N202" s="251" t="s">
        <v>1539</v>
      </c>
      <c r="P202" s="238">
        <f t="shared" si="31"/>
        <v>0</v>
      </c>
      <c r="Q202" s="238">
        <v>0</v>
      </c>
      <c r="R202" s="238">
        <f t="shared" si="32"/>
        <v>0</v>
      </c>
      <c r="S202" s="238">
        <v>0</v>
      </c>
      <c r="T202" s="239">
        <f t="shared" si="33"/>
        <v>0</v>
      </c>
      <c r="AR202" s="240" t="s">
        <v>123</v>
      </c>
      <c r="AT202" s="240" t="s">
        <v>1598</v>
      </c>
      <c r="AU202" s="240" t="s">
        <v>221</v>
      </c>
      <c r="AY202" s="146" t="s">
        <v>1590</v>
      </c>
      <c r="BE202" s="241">
        <f t="shared" si="34"/>
        <v>0</v>
      </c>
      <c r="BF202" s="241">
        <f t="shared" si="35"/>
        <v>0</v>
      </c>
      <c r="BG202" s="241">
        <f t="shared" si="36"/>
        <v>0</v>
      </c>
      <c r="BH202" s="241">
        <f t="shared" si="37"/>
        <v>0</v>
      </c>
      <c r="BI202" s="241">
        <f t="shared" si="38"/>
        <v>0</v>
      </c>
      <c r="BJ202" s="146" t="s">
        <v>213</v>
      </c>
      <c r="BK202" s="241">
        <f t="shared" si="39"/>
        <v>0</v>
      </c>
      <c r="BL202" s="146" t="s">
        <v>123</v>
      </c>
      <c r="BM202" s="240" t="s">
        <v>1787</v>
      </c>
    </row>
    <row r="203" spans="2:65" s="152" customFormat="1" ht="16.5" customHeight="1" x14ac:dyDescent="0.25">
      <c r="B203" s="226"/>
      <c r="C203" s="242" t="s">
        <v>121</v>
      </c>
      <c r="D203" s="242" t="s">
        <v>1598</v>
      </c>
      <c r="E203" s="243" t="s">
        <v>1788</v>
      </c>
      <c r="F203" s="244" t="s">
        <v>1789</v>
      </c>
      <c r="G203" s="245" t="s">
        <v>1465</v>
      </c>
      <c r="H203" s="246">
        <v>6</v>
      </c>
      <c r="I203" s="247"/>
      <c r="J203" s="248">
        <f t="shared" si="30"/>
        <v>0</v>
      </c>
      <c r="K203" s="249"/>
      <c r="L203" s="153"/>
      <c r="M203" s="250" t="s">
        <v>4</v>
      </c>
      <c r="N203" s="251" t="s">
        <v>1539</v>
      </c>
      <c r="P203" s="238">
        <f t="shared" si="31"/>
        <v>0</v>
      </c>
      <c r="Q203" s="238">
        <v>0</v>
      </c>
      <c r="R203" s="238">
        <f t="shared" si="32"/>
        <v>0</v>
      </c>
      <c r="S203" s="238">
        <v>0</v>
      </c>
      <c r="T203" s="239">
        <f t="shared" si="33"/>
        <v>0</v>
      </c>
      <c r="AR203" s="240" t="s">
        <v>123</v>
      </c>
      <c r="AT203" s="240" t="s">
        <v>1598</v>
      </c>
      <c r="AU203" s="240" t="s">
        <v>221</v>
      </c>
      <c r="AY203" s="146" t="s">
        <v>1590</v>
      </c>
      <c r="BE203" s="241">
        <f t="shared" si="34"/>
        <v>0</v>
      </c>
      <c r="BF203" s="241">
        <f t="shared" si="35"/>
        <v>0</v>
      </c>
      <c r="BG203" s="241">
        <f t="shared" si="36"/>
        <v>0</v>
      </c>
      <c r="BH203" s="241">
        <f t="shared" si="37"/>
        <v>0</v>
      </c>
      <c r="BI203" s="241">
        <f t="shared" si="38"/>
        <v>0</v>
      </c>
      <c r="BJ203" s="146" t="s">
        <v>213</v>
      </c>
      <c r="BK203" s="241">
        <f t="shared" si="39"/>
        <v>0</v>
      </c>
      <c r="BL203" s="146" t="s">
        <v>123</v>
      </c>
      <c r="BM203" s="240" t="s">
        <v>1790</v>
      </c>
    </row>
    <row r="204" spans="2:65" s="152" customFormat="1" ht="16.5" customHeight="1" x14ac:dyDescent="0.25">
      <c r="B204" s="226"/>
      <c r="C204" s="227" t="s">
        <v>123</v>
      </c>
      <c r="D204" s="227" t="s">
        <v>1593</v>
      </c>
      <c r="E204" s="228" t="s">
        <v>1791</v>
      </c>
      <c r="F204" s="229" t="s">
        <v>1792</v>
      </c>
      <c r="G204" s="230" t="s">
        <v>1631</v>
      </c>
      <c r="H204" s="231">
        <v>6</v>
      </c>
      <c r="I204" s="232"/>
      <c r="J204" s="233">
        <f t="shared" si="30"/>
        <v>0</v>
      </c>
      <c r="K204" s="234"/>
      <c r="L204" s="235"/>
      <c r="M204" s="236" t="s">
        <v>4</v>
      </c>
      <c r="N204" s="237" t="s">
        <v>1539</v>
      </c>
      <c r="P204" s="238">
        <f t="shared" si="31"/>
        <v>0</v>
      </c>
      <c r="Q204" s="238">
        <v>0</v>
      </c>
      <c r="R204" s="238">
        <f t="shared" si="32"/>
        <v>0</v>
      </c>
      <c r="S204" s="238">
        <v>0</v>
      </c>
      <c r="T204" s="239">
        <f t="shared" si="33"/>
        <v>0</v>
      </c>
      <c r="AR204" s="240" t="s">
        <v>1018</v>
      </c>
      <c r="AT204" s="240" t="s">
        <v>1593</v>
      </c>
      <c r="AU204" s="240" t="s">
        <v>221</v>
      </c>
      <c r="AY204" s="146" t="s">
        <v>1590</v>
      </c>
      <c r="BE204" s="241">
        <f t="shared" si="34"/>
        <v>0</v>
      </c>
      <c r="BF204" s="241">
        <f t="shared" si="35"/>
        <v>0</v>
      </c>
      <c r="BG204" s="241">
        <f t="shared" si="36"/>
        <v>0</v>
      </c>
      <c r="BH204" s="241">
        <f t="shared" si="37"/>
        <v>0</v>
      </c>
      <c r="BI204" s="241">
        <f t="shared" si="38"/>
        <v>0</v>
      </c>
      <c r="BJ204" s="146" t="s">
        <v>213</v>
      </c>
      <c r="BK204" s="241">
        <f t="shared" si="39"/>
        <v>0</v>
      </c>
      <c r="BL204" s="146" t="s">
        <v>123</v>
      </c>
      <c r="BM204" s="240" t="s">
        <v>1793</v>
      </c>
    </row>
    <row r="205" spans="2:65" s="152" customFormat="1" ht="16.5" customHeight="1" x14ac:dyDescent="0.25">
      <c r="B205" s="226"/>
      <c r="C205" s="242" t="s">
        <v>418</v>
      </c>
      <c r="D205" s="242" t="s">
        <v>1598</v>
      </c>
      <c r="E205" s="243" t="s">
        <v>1794</v>
      </c>
      <c r="F205" s="244" t="s">
        <v>1795</v>
      </c>
      <c r="G205" s="245" t="s">
        <v>1465</v>
      </c>
      <c r="H205" s="246">
        <v>1</v>
      </c>
      <c r="I205" s="247"/>
      <c r="J205" s="248">
        <f t="shared" si="30"/>
        <v>0</v>
      </c>
      <c r="K205" s="249"/>
      <c r="L205" s="153"/>
      <c r="M205" s="250" t="s">
        <v>4</v>
      </c>
      <c r="N205" s="251" t="s">
        <v>1539</v>
      </c>
      <c r="P205" s="238">
        <f t="shared" si="31"/>
        <v>0</v>
      </c>
      <c r="Q205" s="238">
        <v>0</v>
      </c>
      <c r="R205" s="238">
        <f t="shared" si="32"/>
        <v>0</v>
      </c>
      <c r="S205" s="238">
        <v>0</v>
      </c>
      <c r="T205" s="239">
        <f t="shared" si="33"/>
        <v>0</v>
      </c>
      <c r="AR205" s="240" t="s">
        <v>123</v>
      </c>
      <c r="AT205" s="240" t="s">
        <v>1598</v>
      </c>
      <c r="AU205" s="240" t="s">
        <v>221</v>
      </c>
      <c r="AY205" s="146" t="s">
        <v>1590</v>
      </c>
      <c r="BE205" s="241">
        <f t="shared" si="34"/>
        <v>0</v>
      </c>
      <c r="BF205" s="241">
        <f t="shared" si="35"/>
        <v>0</v>
      </c>
      <c r="BG205" s="241">
        <f t="shared" si="36"/>
        <v>0</v>
      </c>
      <c r="BH205" s="241">
        <f t="shared" si="37"/>
        <v>0</v>
      </c>
      <c r="BI205" s="241">
        <f t="shared" si="38"/>
        <v>0</v>
      </c>
      <c r="BJ205" s="146" t="s">
        <v>213</v>
      </c>
      <c r="BK205" s="241">
        <f t="shared" si="39"/>
        <v>0</v>
      </c>
      <c r="BL205" s="146" t="s">
        <v>123</v>
      </c>
      <c r="BM205" s="240" t="s">
        <v>1796</v>
      </c>
    </row>
    <row r="206" spans="2:65" s="152" customFormat="1" ht="16.5" customHeight="1" x14ac:dyDescent="0.25">
      <c r="B206" s="226"/>
      <c r="C206" s="242" t="s">
        <v>421</v>
      </c>
      <c r="D206" s="242" t="s">
        <v>1598</v>
      </c>
      <c r="E206" s="243" t="s">
        <v>1797</v>
      </c>
      <c r="F206" s="244" t="s">
        <v>1798</v>
      </c>
      <c r="G206" s="245" t="s">
        <v>644</v>
      </c>
      <c r="H206" s="246">
        <v>1</v>
      </c>
      <c r="I206" s="247"/>
      <c r="J206" s="248">
        <f t="shared" si="30"/>
        <v>0</v>
      </c>
      <c r="K206" s="249"/>
      <c r="L206" s="153"/>
      <c r="M206" s="250" t="s">
        <v>4</v>
      </c>
      <c r="N206" s="251" t="s">
        <v>1539</v>
      </c>
      <c r="P206" s="238">
        <f t="shared" si="31"/>
        <v>0</v>
      </c>
      <c r="Q206" s="238">
        <v>0</v>
      </c>
      <c r="R206" s="238">
        <f t="shared" si="32"/>
        <v>0</v>
      </c>
      <c r="S206" s="238">
        <v>0</v>
      </c>
      <c r="T206" s="239">
        <f t="shared" si="33"/>
        <v>0</v>
      </c>
      <c r="AR206" s="240" t="s">
        <v>123</v>
      </c>
      <c r="AT206" s="240" t="s">
        <v>1598</v>
      </c>
      <c r="AU206" s="240" t="s">
        <v>221</v>
      </c>
      <c r="AY206" s="146" t="s">
        <v>1590</v>
      </c>
      <c r="BE206" s="241">
        <f t="shared" si="34"/>
        <v>0</v>
      </c>
      <c r="BF206" s="241">
        <f t="shared" si="35"/>
        <v>0</v>
      </c>
      <c r="BG206" s="241">
        <f t="shared" si="36"/>
        <v>0</v>
      </c>
      <c r="BH206" s="241">
        <f t="shared" si="37"/>
        <v>0</v>
      </c>
      <c r="BI206" s="241">
        <f t="shared" si="38"/>
        <v>0</v>
      </c>
      <c r="BJ206" s="146" t="s">
        <v>213</v>
      </c>
      <c r="BK206" s="241">
        <f t="shared" si="39"/>
        <v>0</v>
      </c>
      <c r="BL206" s="146" t="s">
        <v>123</v>
      </c>
      <c r="BM206" s="240" t="s">
        <v>1799</v>
      </c>
    </row>
    <row r="207" spans="2:65" s="152" customFormat="1" ht="24.2" customHeight="1" x14ac:dyDescent="0.25">
      <c r="B207" s="226"/>
      <c r="C207" s="242" t="s">
        <v>424</v>
      </c>
      <c r="D207" s="242" t="s">
        <v>1598</v>
      </c>
      <c r="E207" s="243" t="s">
        <v>1800</v>
      </c>
      <c r="F207" s="244" t="s">
        <v>1801</v>
      </c>
      <c r="G207" s="245" t="s">
        <v>309</v>
      </c>
      <c r="H207" s="246">
        <v>15</v>
      </c>
      <c r="I207" s="247"/>
      <c r="J207" s="248">
        <f t="shared" si="30"/>
        <v>0</v>
      </c>
      <c r="K207" s="249"/>
      <c r="L207" s="153"/>
      <c r="M207" s="250" t="s">
        <v>4</v>
      </c>
      <c r="N207" s="251" t="s">
        <v>1539</v>
      </c>
      <c r="P207" s="238">
        <f t="shared" si="31"/>
        <v>0</v>
      </c>
      <c r="Q207" s="238">
        <v>0</v>
      </c>
      <c r="R207" s="238">
        <f t="shared" si="32"/>
        <v>0</v>
      </c>
      <c r="S207" s="238">
        <v>0</v>
      </c>
      <c r="T207" s="239">
        <f t="shared" si="33"/>
        <v>0</v>
      </c>
      <c r="AR207" s="240" t="s">
        <v>123</v>
      </c>
      <c r="AT207" s="240" t="s">
        <v>1598</v>
      </c>
      <c r="AU207" s="240" t="s">
        <v>221</v>
      </c>
      <c r="AY207" s="146" t="s">
        <v>1590</v>
      </c>
      <c r="BE207" s="241">
        <f t="shared" si="34"/>
        <v>0</v>
      </c>
      <c r="BF207" s="241">
        <f t="shared" si="35"/>
        <v>0</v>
      </c>
      <c r="BG207" s="241">
        <f t="shared" si="36"/>
        <v>0</v>
      </c>
      <c r="BH207" s="241">
        <f t="shared" si="37"/>
        <v>0</v>
      </c>
      <c r="BI207" s="241">
        <f t="shared" si="38"/>
        <v>0</v>
      </c>
      <c r="BJ207" s="146" t="s">
        <v>213</v>
      </c>
      <c r="BK207" s="241">
        <f t="shared" si="39"/>
        <v>0</v>
      </c>
      <c r="BL207" s="146" t="s">
        <v>123</v>
      </c>
      <c r="BM207" s="240" t="s">
        <v>1802</v>
      </c>
    </row>
    <row r="208" spans="2:65" s="152" customFormat="1" ht="16.5" customHeight="1" x14ac:dyDescent="0.25">
      <c r="B208" s="226"/>
      <c r="C208" s="227" t="s">
        <v>427</v>
      </c>
      <c r="D208" s="227" t="s">
        <v>1593</v>
      </c>
      <c r="E208" s="228" t="s">
        <v>1803</v>
      </c>
      <c r="F208" s="229" t="s">
        <v>1804</v>
      </c>
      <c r="G208" s="230" t="s">
        <v>1631</v>
      </c>
      <c r="H208" s="231">
        <v>15</v>
      </c>
      <c r="I208" s="232"/>
      <c r="J208" s="233">
        <f t="shared" si="30"/>
        <v>0</v>
      </c>
      <c r="K208" s="234"/>
      <c r="L208" s="235"/>
      <c r="M208" s="236" t="s">
        <v>4</v>
      </c>
      <c r="N208" s="237" t="s">
        <v>1539</v>
      </c>
      <c r="P208" s="238">
        <f t="shared" si="31"/>
        <v>0</v>
      </c>
      <c r="Q208" s="238">
        <v>0</v>
      </c>
      <c r="R208" s="238">
        <f t="shared" si="32"/>
        <v>0</v>
      </c>
      <c r="S208" s="238">
        <v>0</v>
      </c>
      <c r="T208" s="239">
        <f t="shared" si="33"/>
        <v>0</v>
      </c>
      <c r="AR208" s="240" t="s">
        <v>1018</v>
      </c>
      <c r="AT208" s="240" t="s">
        <v>1593</v>
      </c>
      <c r="AU208" s="240" t="s">
        <v>221</v>
      </c>
      <c r="AY208" s="146" t="s">
        <v>1590</v>
      </c>
      <c r="BE208" s="241">
        <f t="shared" si="34"/>
        <v>0</v>
      </c>
      <c r="BF208" s="241">
        <f t="shared" si="35"/>
        <v>0</v>
      </c>
      <c r="BG208" s="241">
        <f t="shared" si="36"/>
        <v>0</v>
      </c>
      <c r="BH208" s="241">
        <f t="shared" si="37"/>
        <v>0</v>
      </c>
      <c r="BI208" s="241">
        <f t="shared" si="38"/>
        <v>0</v>
      </c>
      <c r="BJ208" s="146" t="s">
        <v>213</v>
      </c>
      <c r="BK208" s="241">
        <f t="shared" si="39"/>
        <v>0</v>
      </c>
      <c r="BL208" s="146" t="s">
        <v>123</v>
      </c>
      <c r="BM208" s="240" t="s">
        <v>1805</v>
      </c>
    </row>
    <row r="209" spans="2:65" s="152" customFormat="1" ht="24.2" customHeight="1" x14ac:dyDescent="0.25">
      <c r="B209" s="226"/>
      <c r="C209" s="242" t="s">
        <v>430</v>
      </c>
      <c r="D209" s="242" t="s">
        <v>1598</v>
      </c>
      <c r="E209" s="243" t="s">
        <v>1806</v>
      </c>
      <c r="F209" s="244" t="s">
        <v>1807</v>
      </c>
      <c r="G209" s="245" t="s">
        <v>309</v>
      </c>
      <c r="H209" s="246">
        <v>15</v>
      </c>
      <c r="I209" s="247"/>
      <c r="J209" s="248">
        <f t="shared" si="30"/>
        <v>0</v>
      </c>
      <c r="K209" s="249"/>
      <c r="L209" s="153"/>
      <c r="M209" s="250" t="s">
        <v>4</v>
      </c>
      <c r="N209" s="251" t="s">
        <v>1539</v>
      </c>
      <c r="P209" s="238">
        <f t="shared" si="31"/>
        <v>0</v>
      </c>
      <c r="Q209" s="238">
        <v>0</v>
      </c>
      <c r="R209" s="238">
        <f t="shared" si="32"/>
        <v>0</v>
      </c>
      <c r="S209" s="238">
        <v>0</v>
      </c>
      <c r="T209" s="239">
        <f t="shared" si="33"/>
        <v>0</v>
      </c>
      <c r="AR209" s="240" t="s">
        <v>123</v>
      </c>
      <c r="AT209" s="240" t="s">
        <v>1598</v>
      </c>
      <c r="AU209" s="240" t="s">
        <v>221</v>
      </c>
      <c r="AY209" s="146" t="s">
        <v>1590</v>
      </c>
      <c r="BE209" s="241">
        <f t="shared" si="34"/>
        <v>0</v>
      </c>
      <c r="BF209" s="241">
        <f t="shared" si="35"/>
        <v>0</v>
      </c>
      <c r="BG209" s="241">
        <f t="shared" si="36"/>
        <v>0</v>
      </c>
      <c r="BH209" s="241">
        <f t="shared" si="37"/>
        <v>0</v>
      </c>
      <c r="BI209" s="241">
        <f t="shared" si="38"/>
        <v>0</v>
      </c>
      <c r="BJ209" s="146" t="s">
        <v>213</v>
      </c>
      <c r="BK209" s="241">
        <f t="shared" si="39"/>
        <v>0</v>
      </c>
      <c r="BL209" s="146" t="s">
        <v>123</v>
      </c>
      <c r="BM209" s="240" t="s">
        <v>1808</v>
      </c>
    </row>
    <row r="210" spans="2:65" s="152" customFormat="1" ht="16.5" customHeight="1" x14ac:dyDescent="0.25">
      <c r="B210" s="226"/>
      <c r="C210" s="227" t="s">
        <v>433</v>
      </c>
      <c r="D210" s="227" t="s">
        <v>1593</v>
      </c>
      <c r="E210" s="228" t="s">
        <v>1809</v>
      </c>
      <c r="F210" s="229" t="s">
        <v>1810</v>
      </c>
      <c r="G210" s="230" t="s">
        <v>309</v>
      </c>
      <c r="H210" s="231">
        <v>15</v>
      </c>
      <c r="I210" s="232"/>
      <c r="J210" s="233">
        <f t="shared" si="30"/>
        <v>0</v>
      </c>
      <c r="K210" s="234"/>
      <c r="L210" s="235"/>
      <c r="M210" s="236" t="s">
        <v>4</v>
      </c>
      <c r="N210" s="237" t="s">
        <v>1539</v>
      </c>
      <c r="P210" s="238">
        <f t="shared" si="31"/>
        <v>0</v>
      </c>
      <c r="Q210" s="238">
        <v>2.0000000000000002E-5</v>
      </c>
      <c r="R210" s="238">
        <f t="shared" si="32"/>
        <v>3.0000000000000003E-4</v>
      </c>
      <c r="S210" s="238">
        <v>0</v>
      </c>
      <c r="T210" s="239">
        <f t="shared" si="33"/>
        <v>0</v>
      </c>
      <c r="AR210" s="240" t="s">
        <v>615</v>
      </c>
      <c r="AT210" s="240" t="s">
        <v>1593</v>
      </c>
      <c r="AU210" s="240" t="s">
        <v>221</v>
      </c>
      <c r="AY210" s="146" t="s">
        <v>1590</v>
      </c>
      <c r="BE210" s="241">
        <f t="shared" si="34"/>
        <v>0</v>
      </c>
      <c r="BF210" s="241">
        <f t="shared" si="35"/>
        <v>0</v>
      </c>
      <c r="BG210" s="241">
        <f t="shared" si="36"/>
        <v>0</v>
      </c>
      <c r="BH210" s="241">
        <f t="shared" si="37"/>
        <v>0</v>
      </c>
      <c r="BI210" s="241">
        <f t="shared" si="38"/>
        <v>0</v>
      </c>
      <c r="BJ210" s="146" t="s">
        <v>213</v>
      </c>
      <c r="BK210" s="241">
        <f t="shared" si="39"/>
        <v>0</v>
      </c>
      <c r="BL210" s="146" t="s">
        <v>615</v>
      </c>
      <c r="BM210" s="240" t="s">
        <v>1811</v>
      </c>
    </row>
    <row r="211" spans="2:65" s="152" customFormat="1" ht="24.2" customHeight="1" x14ac:dyDescent="0.25">
      <c r="B211" s="226"/>
      <c r="C211" s="242" t="s">
        <v>437</v>
      </c>
      <c r="D211" s="242" t="s">
        <v>1598</v>
      </c>
      <c r="E211" s="243" t="s">
        <v>1812</v>
      </c>
      <c r="F211" s="244" t="s">
        <v>1813</v>
      </c>
      <c r="G211" s="245" t="s">
        <v>309</v>
      </c>
      <c r="H211" s="246">
        <v>9</v>
      </c>
      <c r="I211" s="247"/>
      <c r="J211" s="248">
        <f t="shared" si="30"/>
        <v>0</v>
      </c>
      <c r="K211" s="249"/>
      <c r="L211" s="153"/>
      <c r="M211" s="250" t="s">
        <v>4</v>
      </c>
      <c r="N211" s="251" t="s">
        <v>1539</v>
      </c>
      <c r="P211" s="238">
        <f t="shared" si="31"/>
        <v>0</v>
      </c>
      <c r="Q211" s="238">
        <v>0</v>
      </c>
      <c r="R211" s="238">
        <f t="shared" si="32"/>
        <v>0</v>
      </c>
      <c r="S211" s="238">
        <v>0</v>
      </c>
      <c r="T211" s="239">
        <f t="shared" si="33"/>
        <v>0</v>
      </c>
      <c r="AR211" s="240" t="s">
        <v>123</v>
      </c>
      <c r="AT211" s="240" t="s">
        <v>1598</v>
      </c>
      <c r="AU211" s="240" t="s">
        <v>221</v>
      </c>
      <c r="AY211" s="146" t="s">
        <v>1590</v>
      </c>
      <c r="BE211" s="241">
        <f t="shared" si="34"/>
        <v>0</v>
      </c>
      <c r="BF211" s="241">
        <f t="shared" si="35"/>
        <v>0</v>
      </c>
      <c r="BG211" s="241">
        <f t="shared" si="36"/>
        <v>0</v>
      </c>
      <c r="BH211" s="241">
        <f t="shared" si="37"/>
        <v>0</v>
      </c>
      <c r="BI211" s="241">
        <f t="shared" si="38"/>
        <v>0</v>
      </c>
      <c r="BJ211" s="146" t="s">
        <v>213</v>
      </c>
      <c r="BK211" s="241">
        <f t="shared" si="39"/>
        <v>0</v>
      </c>
      <c r="BL211" s="146" t="s">
        <v>123</v>
      </c>
      <c r="BM211" s="240" t="s">
        <v>1814</v>
      </c>
    </row>
    <row r="212" spans="2:65" s="152" customFormat="1" ht="16.5" customHeight="1" x14ac:dyDescent="0.25">
      <c r="B212" s="226"/>
      <c r="C212" s="227" t="s">
        <v>440</v>
      </c>
      <c r="D212" s="227" t="s">
        <v>1593</v>
      </c>
      <c r="E212" s="228" t="s">
        <v>1815</v>
      </c>
      <c r="F212" s="229" t="s">
        <v>1816</v>
      </c>
      <c r="G212" s="230" t="s">
        <v>309</v>
      </c>
      <c r="H212" s="231">
        <v>9</v>
      </c>
      <c r="I212" s="232"/>
      <c r="J212" s="233">
        <f t="shared" si="30"/>
        <v>0</v>
      </c>
      <c r="K212" s="234"/>
      <c r="L212" s="235"/>
      <c r="M212" s="236" t="s">
        <v>4</v>
      </c>
      <c r="N212" s="237" t="s">
        <v>1539</v>
      </c>
      <c r="P212" s="238">
        <f t="shared" si="31"/>
        <v>0</v>
      </c>
      <c r="Q212" s="238">
        <v>5.0000000000000002E-5</v>
      </c>
      <c r="R212" s="238">
        <f t="shared" si="32"/>
        <v>4.5000000000000004E-4</v>
      </c>
      <c r="S212" s="238">
        <v>0</v>
      </c>
      <c r="T212" s="239">
        <f t="shared" si="33"/>
        <v>0</v>
      </c>
      <c r="AR212" s="240" t="s">
        <v>615</v>
      </c>
      <c r="AT212" s="240" t="s">
        <v>1593</v>
      </c>
      <c r="AU212" s="240" t="s">
        <v>221</v>
      </c>
      <c r="AY212" s="146" t="s">
        <v>1590</v>
      </c>
      <c r="BE212" s="241">
        <f t="shared" si="34"/>
        <v>0</v>
      </c>
      <c r="BF212" s="241">
        <f t="shared" si="35"/>
        <v>0</v>
      </c>
      <c r="BG212" s="241">
        <f t="shared" si="36"/>
        <v>0</v>
      </c>
      <c r="BH212" s="241">
        <f t="shared" si="37"/>
        <v>0</v>
      </c>
      <c r="BI212" s="241">
        <f t="shared" si="38"/>
        <v>0</v>
      </c>
      <c r="BJ212" s="146" t="s">
        <v>213</v>
      </c>
      <c r="BK212" s="241">
        <f t="shared" si="39"/>
        <v>0</v>
      </c>
      <c r="BL212" s="146" t="s">
        <v>615</v>
      </c>
      <c r="BM212" s="240" t="s">
        <v>1817</v>
      </c>
    </row>
    <row r="213" spans="2:65" s="152" customFormat="1" ht="24.2" customHeight="1" x14ac:dyDescent="0.25">
      <c r="B213" s="226"/>
      <c r="C213" s="242" t="s">
        <v>139</v>
      </c>
      <c r="D213" s="242" t="s">
        <v>1598</v>
      </c>
      <c r="E213" s="243" t="s">
        <v>1818</v>
      </c>
      <c r="F213" s="244" t="s">
        <v>1819</v>
      </c>
      <c r="G213" s="245" t="s">
        <v>309</v>
      </c>
      <c r="H213" s="246">
        <v>3</v>
      </c>
      <c r="I213" s="247"/>
      <c r="J213" s="248">
        <f t="shared" si="30"/>
        <v>0</v>
      </c>
      <c r="K213" s="249"/>
      <c r="L213" s="153"/>
      <c r="M213" s="250" t="s">
        <v>4</v>
      </c>
      <c r="N213" s="251" t="s">
        <v>1539</v>
      </c>
      <c r="P213" s="238">
        <f t="shared" si="31"/>
        <v>0</v>
      </c>
      <c r="Q213" s="238">
        <v>0</v>
      </c>
      <c r="R213" s="238">
        <f t="shared" si="32"/>
        <v>0</v>
      </c>
      <c r="S213" s="238">
        <v>0</v>
      </c>
      <c r="T213" s="239">
        <f t="shared" si="33"/>
        <v>0</v>
      </c>
      <c r="AR213" s="240" t="s">
        <v>123</v>
      </c>
      <c r="AT213" s="240" t="s">
        <v>1598</v>
      </c>
      <c r="AU213" s="240" t="s">
        <v>221</v>
      </c>
      <c r="AY213" s="146" t="s">
        <v>1590</v>
      </c>
      <c r="BE213" s="241">
        <f t="shared" si="34"/>
        <v>0</v>
      </c>
      <c r="BF213" s="241">
        <f t="shared" si="35"/>
        <v>0</v>
      </c>
      <c r="BG213" s="241">
        <f t="shared" si="36"/>
        <v>0</v>
      </c>
      <c r="BH213" s="241">
        <f t="shared" si="37"/>
        <v>0</v>
      </c>
      <c r="BI213" s="241">
        <f t="shared" si="38"/>
        <v>0</v>
      </c>
      <c r="BJ213" s="146" t="s">
        <v>213</v>
      </c>
      <c r="BK213" s="241">
        <f t="shared" si="39"/>
        <v>0</v>
      </c>
      <c r="BL213" s="146" t="s">
        <v>123</v>
      </c>
      <c r="BM213" s="240" t="s">
        <v>1820</v>
      </c>
    </row>
    <row r="214" spans="2:65" s="152" customFormat="1" ht="16.5" customHeight="1" x14ac:dyDescent="0.25">
      <c r="B214" s="226"/>
      <c r="C214" s="227" t="s">
        <v>446</v>
      </c>
      <c r="D214" s="227" t="s">
        <v>1593</v>
      </c>
      <c r="E214" s="228" t="s">
        <v>1821</v>
      </c>
      <c r="F214" s="229" t="s">
        <v>1822</v>
      </c>
      <c r="G214" s="230" t="s">
        <v>309</v>
      </c>
      <c r="H214" s="231">
        <v>3</v>
      </c>
      <c r="I214" s="232"/>
      <c r="J214" s="233">
        <f t="shared" si="30"/>
        <v>0</v>
      </c>
      <c r="K214" s="234"/>
      <c r="L214" s="235"/>
      <c r="M214" s="236" t="s">
        <v>4</v>
      </c>
      <c r="N214" s="237" t="s">
        <v>1539</v>
      </c>
      <c r="P214" s="238">
        <f t="shared" si="31"/>
        <v>0</v>
      </c>
      <c r="Q214" s="238">
        <v>5.0000000000000002E-5</v>
      </c>
      <c r="R214" s="238">
        <f t="shared" si="32"/>
        <v>1.5000000000000001E-4</v>
      </c>
      <c r="S214" s="238">
        <v>0</v>
      </c>
      <c r="T214" s="239">
        <f t="shared" si="33"/>
        <v>0</v>
      </c>
      <c r="AR214" s="240" t="s">
        <v>615</v>
      </c>
      <c r="AT214" s="240" t="s">
        <v>1593</v>
      </c>
      <c r="AU214" s="240" t="s">
        <v>221</v>
      </c>
      <c r="AY214" s="146" t="s">
        <v>1590</v>
      </c>
      <c r="BE214" s="241">
        <f t="shared" si="34"/>
        <v>0</v>
      </c>
      <c r="BF214" s="241">
        <f t="shared" si="35"/>
        <v>0</v>
      </c>
      <c r="BG214" s="241">
        <f t="shared" si="36"/>
        <v>0</v>
      </c>
      <c r="BH214" s="241">
        <f t="shared" si="37"/>
        <v>0</v>
      </c>
      <c r="BI214" s="241">
        <f t="shared" si="38"/>
        <v>0</v>
      </c>
      <c r="BJ214" s="146" t="s">
        <v>213</v>
      </c>
      <c r="BK214" s="241">
        <f t="shared" si="39"/>
        <v>0</v>
      </c>
      <c r="BL214" s="146" t="s">
        <v>615</v>
      </c>
      <c r="BM214" s="240" t="s">
        <v>1823</v>
      </c>
    </row>
    <row r="215" spans="2:65" s="152" customFormat="1" ht="24.2" customHeight="1" x14ac:dyDescent="0.25">
      <c r="B215" s="226"/>
      <c r="C215" s="242" t="s">
        <v>451</v>
      </c>
      <c r="D215" s="242" t="s">
        <v>1598</v>
      </c>
      <c r="E215" s="243" t="s">
        <v>1824</v>
      </c>
      <c r="F215" s="244" t="s">
        <v>1825</v>
      </c>
      <c r="G215" s="245" t="s">
        <v>309</v>
      </c>
      <c r="H215" s="246">
        <v>26</v>
      </c>
      <c r="I215" s="247"/>
      <c r="J215" s="248">
        <f t="shared" si="30"/>
        <v>0</v>
      </c>
      <c r="K215" s="249"/>
      <c r="L215" s="153"/>
      <c r="M215" s="250" t="s">
        <v>4</v>
      </c>
      <c r="N215" s="251" t="s">
        <v>1539</v>
      </c>
      <c r="P215" s="238">
        <f t="shared" si="31"/>
        <v>0</v>
      </c>
      <c r="Q215" s="238">
        <v>0</v>
      </c>
      <c r="R215" s="238">
        <f t="shared" si="32"/>
        <v>0</v>
      </c>
      <c r="S215" s="238">
        <v>0</v>
      </c>
      <c r="T215" s="239">
        <f t="shared" si="33"/>
        <v>0</v>
      </c>
      <c r="AR215" s="240" t="s">
        <v>123</v>
      </c>
      <c r="AT215" s="240" t="s">
        <v>1598</v>
      </c>
      <c r="AU215" s="240" t="s">
        <v>221</v>
      </c>
      <c r="AY215" s="146" t="s">
        <v>1590</v>
      </c>
      <c r="BE215" s="241">
        <f t="shared" si="34"/>
        <v>0</v>
      </c>
      <c r="BF215" s="241">
        <f t="shared" si="35"/>
        <v>0</v>
      </c>
      <c r="BG215" s="241">
        <f t="shared" si="36"/>
        <v>0</v>
      </c>
      <c r="BH215" s="241">
        <f t="shared" si="37"/>
        <v>0</v>
      </c>
      <c r="BI215" s="241">
        <f t="shared" si="38"/>
        <v>0</v>
      </c>
      <c r="BJ215" s="146" t="s">
        <v>213</v>
      </c>
      <c r="BK215" s="241">
        <f t="shared" si="39"/>
        <v>0</v>
      </c>
      <c r="BL215" s="146" t="s">
        <v>123</v>
      </c>
      <c r="BM215" s="240" t="s">
        <v>1826</v>
      </c>
    </row>
    <row r="216" spans="2:65" s="152" customFormat="1" ht="16.5" customHeight="1" x14ac:dyDescent="0.25">
      <c r="B216" s="226"/>
      <c r="C216" s="227" t="s">
        <v>454</v>
      </c>
      <c r="D216" s="227" t="s">
        <v>1593</v>
      </c>
      <c r="E216" s="228" t="s">
        <v>1827</v>
      </c>
      <c r="F216" s="229" t="s">
        <v>1828</v>
      </c>
      <c r="G216" s="230" t="s">
        <v>309</v>
      </c>
      <c r="H216" s="231">
        <v>26</v>
      </c>
      <c r="I216" s="232"/>
      <c r="J216" s="233">
        <f t="shared" si="30"/>
        <v>0</v>
      </c>
      <c r="K216" s="234"/>
      <c r="L216" s="235"/>
      <c r="M216" s="236" t="s">
        <v>4</v>
      </c>
      <c r="N216" s="237" t="s">
        <v>1539</v>
      </c>
      <c r="P216" s="238">
        <f t="shared" si="31"/>
        <v>0</v>
      </c>
      <c r="Q216" s="238">
        <v>5.0000000000000002E-5</v>
      </c>
      <c r="R216" s="238">
        <f t="shared" si="32"/>
        <v>1.3000000000000002E-3</v>
      </c>
      <c r="S216" s="238">
        <v>0</v>
      </c>
      <c r="T216" s="239">
        <f t="shared" si="33"/>
        <v>0</v>
      </c>
      <c r="AR216" s="240" t="s">
        <v>615</v>
      </c>
      <c r="AT216" s="240" t="s">
        <v>1593</v>
      </c>
      <c r="AU216" s="240" t="s">
        <v>221</v>
      </c>
      <c r="AY216" s="146" t="s">
        <v>1590</v>
      </c>
      <c r="BE216" s="241">
        <f t="shared" si="34"/>
        <v>0</v>
      </c>
      <c r="BF216" s="241">
        <f t="shared" si="35"/>
        <v>0</v>
      </c>
      <c r="BG216" s="241">
        <f t="shared" si="36"/>
        <v>0</v>
      </c>
      <c r="BH216" s="241">
        <f t="shared" si="37"/>
        <v>0</v>
      </c>
      <c r="BI216" s="241">
        <f t="shared" si="38"/>
        <v>0</v>
      </c>
      <c r="BJ216" s="146" t="s">
        <v>213</v>
      </c>
      <c r="BK216" s="241">
        <f t="shared" si="39"/>
        <v>0</v>
      </c>
      <c r="BL216" s="146" t="s">
        <v>615</v>
      </c>
      <c r="BM216" s="240" t="s">
        <v>1829</v>
      </c>
    </row>
    <row r="217" spans="2:65" s="152" customFormat="1" ht="24.2" customHeight="1" x14ac:dyDescent="0.25">
      <c r="B217" s="226"/>
      <c r="C217" s="242" t="s">
        <v>457</v>
      </c>
      <c r="D217" s="242" t="s">
        <v>1598</v>
      </c>
      <c r="E217" s="243" t="s">
        <v>1830</v>
      </c>
      <c r="F217" s="244" t="s">
        <v>1831</v>
      </c>
      <c r="G217" s="245" t="s">
        <v>309</v>
      </c>
      <c r="H217" s="246">
        <v>6</v>
      </c>
      <c r="I217" s="247"/>
      <c r="J217" s="248">
        <f t="shared" si="30"/>
        <v>0</v>
      </c>
      <c r="K217" s="249"/>
      <c r="L217" s="153"/>
      <c r="M217" s="250" t="s">
        <v>4</v>
      </c>
      <c r="N217" s="251" t="s">
        <v>1539</v>
      </c>
      <c r="P217" s="238">
        <f t="shared" si="31"/>
        <v>0</v>
      </c>
      <c r="Q217" s="238">
        <v>0</v>
      </c>
      <c r="R217" s="238">
        <f t="shared" si="32"/>
        <v>0</v>
      </c>
      <c r="S217" s="238">
        <v>0</v>
      </c>
      <c r="T217" s="239">
        <f t="shared" si="33"/>
        <v>0</v>
      </c>
      <c r="AR217" s="240" t="s">
        <v>123</v>
      </c>
      <c r="AT217" s="240" t="s">
        <v>1598</v>
      </c>
      <c r="AU217" s="240" t="s">
        <v>221</v>
      </c>
      <c r="AY217" s="146" t="s">
        <v>1590</v>
      </c>
      <c r="BE217" s="241">
        <f t="shared" si="34"/>
        <v>0</v>
      </c>
      <c r="BF217" s="241">
        <f t="shared" si="35"/>
        <v>0</v>
      </c>
      <c r="BG217" s="241">
        <f t="shared" si="36"/>
        <v>0</v>
      </c>
      <c r="BH217" s="241">
        <f t="shared" si="37"/>
        <v>0</v>
      </c>
      <c r="BI217" s="241">
        <f t="shared" si="38"/>
        <v>0</v>
      </c>
      <c r="BJ217" s="146" t="s">
        <v>213</v>
      </c>
      <c r="BK217" s="241">
        <f t="shared" si="39"/>
        <v>0</v>
      </c>
      <c r="BL217" s="146" t="s">
        <v>123</v>
      </c>
      <c r="BM217" s="240" t="s">
        <v>1832</v>
      </c>
    </row>
    <row r="218" spans="2:65" s="152" customFormat="1" ht="16.5" customHeight="1" x14ac:dyDescent="0.25">
      <c r="B218" s="226"/>
      <c r="C218" s="227" t="s">
        <v>460</v>
      </c>
      <c r="D218" s="227" t="s">
        <v>1593</v>
      </c>
      <c r="E218" s="228" t="s">
        <v>1833</v>
      </c>
      <c r="F218" s="229" t="s">
        <v>1834</v>
      </c>
      <c r="G218" s="230" t="s">
        <v>1631</v>
      </c>
      <c r="H218" s="231">
        <v>6</v>
      </c>
      <c r="I218" s="232"/>
      <c r="J218" s="233">
        <f t="shared" si="30"/>
        <v>0</v>
      </c>
      <c r="K218" s="234"/>
      <c r="L218" s="235"/>
      <c r="M218" s="236" t="s">
        <v>4</v>
      </c>
      <c r="N218" s="237" t="s">
        <v>1539</v>
      </c>
      <c r="P218" s="238">
        <f t="shared" si="31"/>
        <v>0</v>
      </c>
      <c r="Q218" s="238">
        <v>0</v>
      </c>
      <c r="R218" s="238">
        <f t="shared" si="32"/>
        <v>0</v>
      </c>
      <c r="S218" s="238">
        <v>0</v>
      </c>
      <c r="T218" s="239">
        <f t="shared" si="33"/>
        <v>0</v>
      </c>
      <c r="AR218" s="240" t="s">
        <v>1018</v>
      </c>
      <c r="AT218" s="240" t="s">
        <v>1593</v>
      </c>
      <c r="AU218" s="240" t="s">
        <v>221</v>
      </c>
      <c r="AY218" s="146" t="s">
        <v>1590</v>
      </c>
      <c r="BE218" s="241">
        <f t="shared" si="34"/>
        <v>0</v>
      </c>
      <c r="BF218" s="241">
        <f t="shared" si="35"/>
        <v>0</v>
      </c>
      <c r="BG218" s="241">
        <f t="shared" si="36"/>
        <v>0</v>
      </c>
      <c r="BH218" s="241">
        <f t="shared" si="37"/>
        <v>0</v>
      </c>
      <c r="BI218" s="241">
        <f t="shared" si="38"/>
        <v>0</v>
      </c>
      <c r="BJ218" s="146" t="s">
        <v>213</v>
      </c>
      <c r="BK218" s="241">
        <f t="shared" si="39"/>
        <v>0</v>
      </c>
      <c r="BL218" s="146" t="s">
        <v>123</v>
      </c>
      <c r="BM218" s="240" t="s">
        <v>1835</v>
      </c>
    </row>
    <row r="219" spans="2:65" s="152" customFormat="1" ht="24.2" customHeight="1" x14ac:dyDescent="0.25">
      <c r="B219" s="226"/>
      <c r="C219" s="242" t="s">
        <v>464</v>
      </c>
      <c r="D219" s="242" t="s">
        <v>1598</v>
      </c>
      <c r="E219" s="243" t="s">
        <v>1830</v>
      </c>
      <c r="F219" s="244" t="s">
        <v>1831</v>
      </c>
      <c r="G219" s="245" t="s">
        <v>309</v>
      </c>
      <c r="H219" s="246">
        <v>3</v>
      </c>
      <c r="I219" s="247"/>
      <c r="J219" s="248">
        <f t="shared" si="30"/>
        <v>0</v>
      </c>
      <c r="K219" s="249"/>
      <c r="L219" s="153"/>
      <c r="M219" s="250" t="s">
        <v>4</v>
      </c>
      <c r="N219" s="251" t="s">
        <v>1539</v>
      </c>
      <c r="P219" s="238">
        <f t="shared" si="31"/>
        <v>0</v>
      </c>
      <c r="Q219" s="238">
        <v>0</v>
      </c>
      <c r="R219" s="238">
        <f t="shared" si="32"/>
        <v>0</v>
      </c>
      <c r="S219" s="238">
        <v>0</v>
      </c>
      <c r="T219" s="239">
        <f t="shared" si="33"/>
        <v>0</v>
      </c>
      <c r="AR219" s="240" t="s">
        <v>123</v>
      </c>
      <c r="AT219" s="240" t="s">
        <v>1598</v>
      </c>
      <c r="AU219" s="240" t="s">
        <v>221</v>
      </c>
      <c r="AY219" s="146" t="s">
        <v>1590</v>
      </c>
      <c r="BE219" s="241">
        <f t="shared" si="34"/>
        <v>0</v>
      </c>
      <c r="BF219" s="241">
        <f t="shared" si="35"/>
        <v>0</v>
      </c>
      <c r="BG219" s="241">
        <f t="shared" si="36"/>
        <v>0</v>
      </c>
      <c r="BH219" s="241">
        <f t="shared" si="37"/>
        <v>0</v>
      </c>
      <c r="BI219" s="241">
        <f t="shared" si="38"/>
        <v>0</v>
      </c>
      <c r="BJ219" s="146" t="s">
        <v>213</v>
      </c>
      <c r="BK219" s="241">
        <f t="shared" si="39"/>
        <v>0</v>
      </c>
      <c r="BL219" s="146" t="s">
        <v>123</v>
      </c>
      <c r="BM219" s="240" t="s">
        <v>1836</v>
      </c>
    </row>
    <row r="220" spans="2:65" s="152" customFormat="1" ht="24.2" customHeight="1" x14ac:dyDescent="0.25">
      <c r="B220" s="226"/>
      <c r="C220" s="227" t="s">
        <v>467</v>
      </c>
      <c r="D220" s="227" t="s">
        <v>1593</v>
      </c>
      <c r="E220" s="228" t="s">
        <v>1837</v>
      </c>
      <c r="F220" s="229" t="s">
        <v>1838</v>
      </c>
      <c r="G220" s="230" t="s">
        <v>1631</v>
      </c>
      <c r="H220" s="231">
        <v>3</v>
      </c>
      <c r="I220" s="232"/>
      <c r="J220" s="233">
        <f t="shared" si="30"/>
        <v>0</v>
      </c>
      <c r="K220" s="234"/>
      <c r="L220" s="235"/>
      <c r="M220" s="236" t="s">
        <v>4</v>
      </c>
      <c r="N220" s="237" t="s">
        <v>1539</v>
      </c>
      <c r="P220" s="238">
        <f t="shared" si="31"/>
        <v>0</v>
      </c>
      <c r="Q220" s="238">
        <v>0</v>
      </c>
      <c r="R220" s="238">
        <f t="shared" si="32"/>
        <v>0</v>
      </c>
      <c r="S220" s="238">
        <v>0</v>
      </c>
      <c r="T220" s="239">
        <f t="shared" si="33"/>
        <v>0</v>
      </c>
      <c r="AR220" s="240" t="s">
        <v>1018</v>
      </c>
      <c r="AT220" s="240" t="s">
        <v>1593</v>
      </c>
      <c r="AU220" s="240" t="s">
        <v>221</v>
      </c>
      <c r="AY220" s="146" t="s">
        <v>1590</v>
      </c>
      <c r="BE220" s="241">
        <f t="shared" si="34"/>
        <v>0</v>
      </c>
      <c r="BF220" s="241">
        <f t="shared" si="35"/>
        <v>0</v>
      </c>
      <c r="BG220" s="241">
        <f t="shared" si="36"/>
        <v>0</v>
      </c>
      <c r="BH220" s="241">
        <f t="shared" si="37"/>
        <v>0</v>
      </c>
      <c r="BI220" s="241">
        <f t="shared" si="38"/>
        <v>0</v>
      </c>
      <c r="BJ220" s="146" t="s">
        <v>213</v>
      </c>
      <c r="BK220" s="241">
        <f t="shared" si="39"/>
        <v>0</v>
      </c>
      <c r="BL220" s="146" t="s">
        <v>123</v>
      </c>
      <c r="BM220" s="240" t="s">
        <v>1839</v>
      </c>
    </row>
    <row r="221" spans="2:65" s="152" customFormat="1" ht="24.2" customHeight="1" x14ac:dyDescent="0.25">
      <c r="B221" s="226"/>
      <c r="C221" s="242" t="s">
        <v>470</v>
      </c>
      <c r="D221" s="242" t="s">
        <v>1598</v>
      </c>
      <c r="E221" s="243" t="s">
        <v>1840</v>
      </c>
      <c r="F221" s="244" t="s">
        <v>1841</v>
      </c>
      <c r="G221" s="245" t="s">
        <v>309</v>
      </c>
      <c r="H221" s="246">
        <v>94</v>
      </c>
      <c r="I221" s="247"/>
      <c r="J221" s="248">
        <f t="shared" si="30"/>
        <v>0</v>
      </c>
      <c r="K221" s="249"/>
      <c r="L221" s="153"/>
      <c r="M221" s="250" t="s">
        <v>4</v>
      </c>
      <c r="N221" s="251" t="s">
        <v>1539</v>
      </c>
      <c r="P221" s="238">
        <f t="shared" si="31"/>
        <v>0</v>
      </c>
      <c r="Q221" s="238">
        <v>0</v>
      </c>
      <c r="R221" s="238">
        <f t="shared" si="32"/>
        <v>0</v>
      </c>
      <c r="S221" s="238">
        <v>0</v>
      </c>
      <c r="T221" s="239">
        <f t="shared" si="33"/>
        <v>0</v>
      </c>
      <c r="AR221" s="240" t="s">
        <v>123</v>
      </c>
      <c r="AT221" s="240" t="s">
        <v>1598</v>
      </c>
      <c r="AU221" s="240" t="s">
        <v>221</v>
      </c>
      <c r="AY221" s="146" t="s">
        <v>1590</v>
      </c>
      <c r="BE221" s="241">
        <f t="shared" si="34"/>
        <v>0</v>
      </c>
      <c r="BF221" s="241">
        <f t="shared" si="35"/>
        <v>0</v>
      </c>
      <c r="BG221" s="241">
        <f t="shared" si="36"/>
        <v>0</v>
      </c>
      <c r="BH221" s="241">
        <f t="shared" si="37"/>
        <v>0</v>
      </c>
      <c r="BI221" s="241">
        <f t="shared" si="38"/>
        <v>0</v>
      </c>
      <c r="BJ221" s="146" t="s">
        <v>213</v>
      </c>
      <c r="BK221" s="241">
        <f t="shared" si="39"/>
        <v>0</v>
      </c>
      <c r="BL221" s="146" t="s">
        <v>123</v>
      </c>
      <c r="BM221" s="240" t="s">
        <v>1842</v>
      </c>
    </row>
    <row r="222" spans="2:65" s="152" customFormat="1" ht="16.5" customHeight="1" x14ac:dyDescent="0.25">
      <c r="B222" s="226"/>
      <c r="C222" s="227" t="s">
        <v>473</v>
      </c>
      <c r="D222" s="227" t="s">
        <v>1593</v>
      </c>
      <c r="E222" s="228" t="s">
        <v>1843</v>
      </c>
      <c r="F222" s="229" t="s">
        <v>1844</v>
      </c>
      <c r="G222" s="230" t="s">
        <v>309</v>
      </c>
      <c r="H222" s="231">
        <v>94</v>
      </c>
      <c r="I222" s="232"/>
      <c r="J222" s="233">
        <f t="shared" si="30"/>
        <v>0</v>
      </c>
      <c r="K222" s="234"/>
      <c r="L222" s="235"/>
      <c r="M222" s="236" t="s">
        <v>4</v>
      </c>
      <c r="N222" s="237" t="s">
        <v>1539</v>
      </c>
      <c r="P222" s="238">
        <f t="shared" si="31"/>
        <v>0</v>
      </c>
      <c r="Q222" s="238">
        <v>6.0000000000000002E-5</v>
      </c>
      <c r="R222" s="238">
        <f t="shared" si="32"/>
        <v>5.64E-3</v>
      </c>
      <c r="S222" s="238">
        <v>0</v>
      </c>
      <c r="T222" s="239">
        <f t="shared" si="33"/>
        <v>0</v>
      </c>
      <c r="AR222" s="240" t="s">
        <v>615</v>
      </c>
      <c r="AT222" s="240" t="s">
        <v>1593</v>
      </c>
      <c r="AU222" s="240" t="s">
        <v>221</v>
      </c>
      <c r="AY222" s="146" t="s">
        <v>1590</v>
      </c>
      <c r="BE222" s="241">
        <f t="shared" si="34"/>
        <v>0</v>
      </c>
      <c r="BF222" s="241">
        <f t="shared" si="35"/>
        <v>0</v>
      </c>
      <c r="BG222" s="241">
        <f t="shared" si="36"/>
        <v>0</v>
      </c>
      <c r="BH222" s="241">
        <f t="shared" si="37"/>
        <v>0</v>
      </c>
      <c r="BI222" s="241">
        <f t="shared" si="38"/>
        <v>0</v>
      </c>
      <c r="BJ222" s="146" t="s">
        <v>213</v>
      </c>
      <c r="BK222" s="241">
        <f t="shared" si="39"/>
        <v>0</v>
      </c>
      <c r="BL222" s="146" t="s">
        <v>615</v>
      </c>
      <c r="BM222" s="240" t="s">
        <v>1845</v>
      </c>
    </row>
    <row r="223" spans="2:65" s="152" customFormat="1" ht="24.2" customHeight="1" x14ac:dyDescent="0.25">
      <c r="B223" s="226"/>
      <c r="C223" s="227" t="s">
        <v>476</v>
      </c>
      <c r="D223" s="227" t="s">
        <v>1593</v>
      </c>
      <c r="E223" s="228" t="s">
        <v>1846</v>
      </c>
      <c r="F223" s="229" t="s">
        <v>1847</v>
      </c>
      <c r="G223" s="230" t="s">
        <v>309</v>
      </c>
      <c r="H223" s="231">
        <v>90</v>
      </c>
      <c r="I223" s="232"/>
      <c r="J223" s="233">
        <f t="shared" si="30"/>
        <v>0</v>
      </c>
      <c r="K223" s="234"/>
      <c r="L223" s="235"/>
      <c r="M223" s="236" t="s">
        <v>4</v>
      </c>
      <c r="N223" s="237" t="s">
        <v>1539</v>
      </c>
      <c r="P223" s="238">
        <f t="shared" si="31"/>
        <v>0</v>
      </c>
      <c r="Q223" s="238">
        <v>1.9999999999999999E-6</v>
      </c>
      <c r="R223" s="238">
        <f t="shared" si="32"/>
        <v>1.7999999999999998E-4</v>
      </c>
      <c r="S223" s="238">
        <v>0</v>
      </c>
      <c r="T223" s="239">
        <f t="shared" si="33"/>
        <v>0</v>
      </c>
      <c r="AR223" s="240" t="s">
        <v>615</v>
      </c>
      <c r="AT223" s="240" t="s">
        <v>1593</v>
      </c>
      <c r="AU223" s="240" t="s">
        <v>221</v>
      </c>
      <c r="AY223" s="146" t="s">
        <v>1590</v>
      </c>
      <c r="BE223" s="241">
        <f t="shared" si="34"/>
        <v>0</v>
      </c>
      <c r="BF223" s="241">
        <f t="shared" si="35"/>
        <v>0</v>
      </c>
      <c r="BG223" s="241">
        <f t="shared" si="36"/>
        <v>0</v>
      </c>
      <c r="BH223" s="241">
        <f t="shared" si="37"/>
        <v>0</v>
      </c>
      <c r="BI223" s="241">
        <f t="shared" si="38"/>
        <v>0</v>
      </c>
      <c r="BJ223" s="146" t="s">
        <v>213</v>
      </c>
      <c r="BK223" s="241">
        <f t="shared" si="39"/>
        <v>0</v>
      </c>
      <c r="BL223" s="146" t="s">
        <v>615</v>
      </c>
      <c r="BM223" s="240" t="s">
        <v>1848</v>
      </c>
    </row>
    <row r="224" spans="2:65" s="152" customFormat="1" ht="24.2" customHeight="1" x14ac:dyDescent="0.25">
      <c r="B224" s="226"/>
      <c r="C224" s="227" t="s">
        <v>481</v>
      </c>
      <c r="D224" s="227" t="s">
        <v>1593</v>
      </c>
      <c r="E224" s="228" t="s">
        <v>1849</v>
      </c>
      <c r="F224" s="229" t="s">
        <v>1850</v>
      </c>
      <c r="G224" s="230" t="s">
        <v>309</v>
      </c>
      <c r="H224" s="231">
        <v>170</v>
      </c>
      <c r="I224" s="232"/>
      <c r="J224" s="233">
        <f t="shared" si="30"/>
        <v>0</v>
      </c>
      <c r="K224" s="234"/>
      <c r="L224" s="235"/>
      <c r="M224" s="236" t="s">
        <v>4</v>
      </c>
      <c r="N224" s="237" t="s">
        <v>1539</v>
      </c>
      <c r="P224" s="238">
        <f t="shared" si="31"/>
        <v>0</v>
      </c>
      <c r="Q224" s="238">
        <v>3.0000000000000001E-6</v>
      </c>
      <c r="R224" s="238">
        <f t="shared" si="32"/>
        <v>5.1000000000000004E-4</v>
      </c>
      <c r="S224" s="238">
        <v>0</v>
      </c>
      <c r="T224" s="239">
        <f t="shared" si="33"/>
        <v>0</v>
      </c>
      <c r="AR224" s="240" t="s">
        <v>615</v>
      </c>
      <c r="AT224" s="240" t="s">
        <v>1593</v>
      </c>
      <c r="AU224" s="240" t="s">
        <v>221</v>
      </c>
      <c r="AY224" s="146" t="s">
        <v>1590</v>
      </c>
      <c r="BE224" s="241">
        <f t="shared" si="34"/>
        <v>0</v>
      </c>
      <c r="BF224" s="241">
        <f t="shared" si="35"/>
        <v>0</v>
      </c>
      <c r="BG224" s="241">
        <f t="shared" si="36"/>
        <v>0</v>
      </c>
      <c r="BH224" s="241">
        <f t="shared" si="37"/>
        <v>0</v>
      </c>
      <c r="BI224" s="241">
        <f t="shared" si="38"/>
        <v>0</v>
      </c>
      <c r="BJ224" s="146" t="s">
        <v>213</v>
      </c>
      <c r="BK224" s="241">
        <f t="shared" si="39"/>
        <v>0</v>
      </c>
      <c r="BL224" s="146" t="s">
        <v>615</v>
      </c>
      <c r="BM224" s="240" t="s">
        <v>1851</v>
      </c>
    </row>
    <row r="225" spans="2:65" s="152" customFormat="1" ht="24.2" customHeight="1" x14ac:dyDescent="0.25">
      <c r="B225" s="226"/>
      <c r="C225" s="227" t="s">
        <v>484</v>
      </c>
      <c r="D225" s="227" t="s">
        <v>1593</v>
      </c>
      <c r="E225" s="228" t="s">
        <v>1852</v>
      </c>
      <c r="F225" s="229" t="s">
        <v>1853</v>
      </c>
      <c r="G225" s="230" t="s">
        <v>309</v>
      </c>
      <c r="H225" s="231">
        <v>115</v>
      </c>
      <c r="I225" s="232"/>
      <c r="J225" s="233">
        <f t="shared" si="30"/>
        <v>0</v>
      </c>
      <c r="K225" s="234"/>
      <c r="L225" s="235"/>
      <c r="M225" s="236" t="s">
        <v>4</v>
      </c>
      <c r="N225" s="237" t="s">
        <v>1539</v>
      </c>
      <c r="P225" s="238">
        <f t="shared" si="31"/>
        <v>0</v>
      </c>
      <c r="Q225" s="238">
        <v>5.0000000000000004E-6</v>
      </c>
      <c r="R225" s="238">
        <f t="shared" si="32"/>
        <v>5.750000000000001E-4</v>
      </c>
      <c r="S225" s="238">
        <v>0</v>
      </c>
      <c r="T225" s="239">
        <f t="shared" si="33"/>
        <v>0</v>
      </c>
      <c r="AR225" s="240" t="s">
        <v>615</v>
      </c>
      <c r="AT225" s="240" t="s">
        <v>1593</v>
      </c>
      <c r="AU225" s="240" t="s">
        <v>221</v>
      </c>
      <c r="AY225" s="146" t="s">
        <v>1590</v>
      </c>
      <c r="BE225" s="241">
        <f t="shared" si="34"/>
        <v>0</v>
      </c>
      <c r="BF225" s="241">
        <f t="shared" si="35"/>
        <v>0</v>
      </c>
      <c r="BG225" s="241">
        <f t="shared" si="36"/>
        <v>0</v>
      </c>
      <c r="BH225" s="241">
        <f t="shared" si="37"/>
        <v>0</v>
      </c>
      <c r="BI225" s="241">
        <f t="shared" si="38"/>
        <v>0</v>
      </c>
      <c r="BJ225" s="146" t="s">
        <v>213</v>
      </c>
      <c r="BK225" s="241">
        <f t="shared" si="39"/>
        <v>0</v>
      </c>
      <c r="BL225" s="146" t="s">
        <v>615</v>
      </c>
      <c r="BM225" s="240" t="s">
        <v>1854</v>
      </c>
    </row>
    <row r="226" spans="2:65" s="152" customFormat="1" ht="24.2" customHeight="1" x14ac:dyDescent="0.25">
      <c r="B226" s="226"/>
      <c r="C226" s="227" t="s">
        <v>487</v>
      </c>
      <c r="D226" s="227" t="s">
        <v>1593</v>
      </c>
      <c r="E226" s="228" t="s">
        <v>1855</v>
      </c>
      <c r="F226" s="229" t="s">
        <v>1856</v>
      </c>
      <c r="G226" s="230" t="s">
        <v>309</v>
      </c>
      <c r="H226" s="231">
        <v>120</v>
      </c>
      <c r="I226" s="232"/>
      <c r="J226" s="233">
        <f t="shared" si="30"/>
        <v>0</v>
      </c>
      <c r="K226" s="234"/>
      <c r="L226" s="235"/>
      <c r="M226" s="236" t="s">
        <v>4</v>
      </c>
      <c r="N226" s="237" t="s">
        <v>1539</v>
      </c>
      <c r="P226" s="238">
        <f t="shared" si="31"/>
        <v>0</v>
      </c>
      <c r="Q226" s="238">
        <v>1.0000000000000001E-5</v>
      </c>
      <c r="R226" s="238">
        <f t="shared" si="32"/>
        <v>1.2000000000000001E-3</v>
      </c>
      <c r="S226" s="238">
        <v>0</v>
      </c>
      <c r="T226" s="239">
        <f t="shared" si="33"/>
        <v>0</v>
      </c>
      <c r="AR226" s="240" t="s">
        <v>615</v>
      </c>
      <c r="AT226" s="240" t="s">
        <v>1593</v>
      </c>
      <c r="AU226" s="240" t="s">
        <v>221</v>
      </c>
      <c r="AY226" s="146" t="s">
        <v>1590</v>
      </c>
      <c r="BE226" s="241">
        <f t="shared" si="34"/>
        <v>0</v>
      </c>
      <c r="BF226" s="241">
        <f t="shared" si="35"/>
        <v>0</v>
      </c>
      <c r="BG226" s="241">
        <f t="shared" si="36"/>
        <v>0</v>
      </c>
      <c r="BH226" s="241">
        <f t="shared" si="37"/>
        <v>0</v>
      </c>
      <c r="BI226" s="241">
        <f t="shared" si="38"/>
        <v>0</v>
      </c>
      <c r="BJ226" s="146" t="s">
        <v>213</v>
      </c>
      <c r="BK226" s="241">
        <f t="shared" si="39"/>
        <v>0</v>
      </c>
      <c r="BL226" s="146" t="s">
        <v>615</v>
      </c>
      <c r="BM226" s="240" t="s">
        <v>1857</v>
      </c>
    </row>
    <row r="227" spans="2:65" s="152" customFormat="1" ht="24.2" customHeight="1" x14ac:dyDescent="0.25">
      <c r="B227" s="226"/>
      <c r="C227" s="242" t="s">
        <v>490</v>
      </c>
      <c r="D227" s="242" t="s">
        <v>1598</v>
      </c>
      <c r="E227" s="243" t="s">
        <v>1858</v>
      </c>
      <c r="F227" s="244" t="s">
        <v>1859</v>
      </c>
      <c r="G227" s="245" t="s">
        <v>309</v>
      </c>
      <c r="H227" s="246">
        <v>24</v>
      </c>
      <c r="I227" s="247"/>
      <c r="J227" s="248">
        <f t="shared" si="30"/>
        <v>0</v>
      </c>
      <c r="K227" s="249"/>
      <c r="L227" s="153"/>
      <c r="M227" s="250" t="s">
        <v>4</v>
      </c>
      <c r="N227" s="251" t="s">
        <v>1539</v>
      </c>
      <c r="P227" s="238">
        <f t="shared" si="31"/>
        <v>0</v>
      </c>
      <c r="Q227" s="238">
        <v>0</v>
      </c>
      <c r="R227" s="238">
        <f t="shared" si="32"/>
        <v>0</v>
      </c>
      <c r="S227" s="238">
        <v>0</v>
      </c>
      <c r="T227" s="239">
        <f t="shared" si="33"/>
        <v>0</v>
      </c>
      <c r="AR227" s="240" t="s">
        <v>123</v>
      </c>
      <c r="AT227" s="240" t="s">
        <v>1598</v>
      </c>
      <c r="AU227" s="240" t="s">
        <v>221</v>
      </c>
      <c r="AY227" s="146" t="s">
        <v>1590</v>
      </c>
      <c r="BE227" s="241">
        <f t="shared" si="34"/>
        <v>0</v>
      </c>
      <c r="BF227" s="241">
        <f t="shared" si="35"/>
        <v>0</v>
      </c>
      <c r="BG227" s="241">
        <f t="shared" si="36"/>
        <v>0</v>
      </c>
      <c r="BH227" s="241">
        <f t="shared" si="37"/>
        <v>0</v>
      </c>
      <c r="BI227" s="241">
        <f t="shared" si="38"/>
        <v>0</v>
      </c>
      <c r="BJ227" s="146" t="s">
        <v>213</v>
      </c>
      <c r="BK227" s="241">
        <f t="shared" si="39"/>
        <v>0</v>
      </c>
      <c r="BL227" s="146" t="s">
        <v>123</v>
      </c>
      <c r="BM227" s="240" t="s">
        <v>1860</v>
      </c>
    </row>
    <row r="228" spans="2:65" s="152" customFormat="1" ht="16.5" customHeight="1" x14ac:dyDescent="0.25">
      <c r="B228" s="226"/>
      <c r="C228" s="227" t="s">
        <v>493</v>
      </c>
      <c r="D228" s="227" t="s">
        <v>1593</v>
      </c>
      <c r="E228" s="228" t="s">
        <v>1861</v>
      </c>
      <c r="F228" s="229" t="s">
        <v>1862</v>
      </c>
      <c r="G228" s="230" t="s">
        <v>1631</v>
      </c>
      <c r="H228" s="231">
        <v>24</v>
      </c>
      <c r="I228" s="232"/>
      <c r="J228" s="233">
        <f t="shared" si="30"/>
        <v>0</v>
      </c>
      <c r="K228" s="234"/>
      <c r="L228" s="235"/>
      <c r="M228" s="236" t="s">
        <v>4</v>
      </c>
      <c r="N228" s="237" t="s">
        <v>1539</v>
      </c>
      <c r="P228" s="238">
        <f t="shared" si="31"/>
        <v>0</v>
      </c>
      <c r="Q228" s="238">
        <v>0</v>
      </c>
      <c r="R228" s="238">
        <f t="shared" si="32"/>
        <v>0</v>
      </c>
      <c r="S228" s="238">
        <v>0</v>
      </c>
      <c r="T228" s="239">
        <f t="shared" si="33"/>
        <v>0</v>
      </c>
      <c r="AR228" s="240" t="s">
        <v>1018</v>
      </c>
      <c r="AT228" s="240" t="s">
        <v>1593</v>
      </c>
      <c r="AU228" s="240" t="s">
        <v>221</v>
      </c>
      <c r="AY228" s="146" t="s">
        <v>1590</v>
      </c>
      <c r="BE228" s="241">
        <f t="shared" si="34"/>
        <v>0</v>
      </c>
      <c r="BF228" s="241">
        <f t="shared" si="35"/>
        <v>0</v>
      </c>
      <c r="BG228" s="241">
        <f t="shared" si="36"/>
        <v>0</v>
      </c>
      <c r="BH228" s="241">
        <f t="shared" si="37"/>
        <v>0</v>
      </c>
      <c r="BI228" s="241">
        <f t="shared" si="38"/>
        <v>0</v>
      </c>
      <c r="BJ228" s="146" t="s">
        <v>213</v>
      </c>
      <c r="BK228" s="241">
        <f t="shared" si="39"/>
        <v>0</v>
      </c>
      <c r="BL228" s="146" t="s">
        <v>123</v>
      </c>
      <c r="BM228" s="240" t="s">
        <v>1863</v>
      </c>
    </row>
    <row r="229" spans="2:65" s="152" customFormat="1" ht="16.5" customHeight="1" x14ac:dyDescent="0.25">
      <c r="B229" s="226"/>
      <c r="C229" s="242" t="s">
        <v>497</v>
      </c>
      <c r="D229" s="242" t="s">
        <v>1598</v>
      </c>
      <c r="E229" s="243" t="s">
        <v>1864</v>
      </c>
      <c r="F229" s="244" t="s">
        <v>1865</v>
      </c>
      <c r="G229" s="245" t="s">
        <v>1631</v>
      </c>
      <c r="H229" s="246">
        <v>3</v>
      </c>
      <c r="I229" s="247"/>
      <c r="J229" s="248">
        <f t="shared" si="30"/>
        <v>0</v>
      </c>
      <c r="K229" s="249"/>
      <c r="L229" s="153"/>
      <c r="M229" s="250" t="s">
        <v>4</v>
      </c>
      <c r="N229" s="251" t="s">
        <v>1539</v>
      </c>
      <c r="P229" s="238">
        <f t="shared" si="31"/>
        <v>0</v>
      </c>
      <c r="Q229" s="238">
        <v>0</v>
      </c>
      <c r="R229" s="238">
        <f t="shared" si="32"/>
        <v>0</v>
      </c>
      <c r="S229" s="238">
        <v>0</v>
      </c>
      <c r="T229" s="239">
        <f t="shared" si="33"/>
        <v>0</v>
      </c>
      <c r="AR229" s="240" t="s">
        <v>123</v>
      </c>
      <c r="AT229" s="240" t="s">
        <v>1598</v>
      </c>
      <c r="AU229" s="240" t="s">
        <v>221</v>
      </c>
      <c r="AY229" s="146" t="s">
        <v>1590</v>
      </c>
      <c r="BE229" s="241">
        <f t="shared" si="34"/>
        <v>0</v>
      </c>
      <c r="BF229" s="241">
        <f t="shared" si="35"/>
        <v>0</v>
      </c>
      <c r="BG229" s="241">
        <f t="shared" si="36"/>
        <v>0</v>
      </c>
      <c r="BH229" s="241">
        <f t="shared" si="37"/>
        <v>0</v>
      </c>
      <c r="BI229" s="241">
        <f t="shared" si="38"/>
        <v>0</v>
      </c>
      <c r="BJ229" s="146" t="s">
        <v>213</v>
      </c>
      <c r="BK229" s="241">
        <f t="shared" si="39"/>
        <v>0</v>
      </c>
      <c r="BL229" s="146" t="s">
        <v>123</v>
      </c>
      <c r="BM229" s="240" t="s">
        <v>1866</v>
      </c>
    </row>
    <row r="230" spans="2:65" s="152" customFormat="1" ht="16.5" customHeight="1" x14ac:dyDescent="0.25">
      <c r="B230" s="226"/>
      <c r="C230" s="227" t="s">
        <v>163</v>
      </c>
      <c r="D230" s="227" t="s">
        <v>1593</v>
      </c>
      <c r="E230" s="228" t="s">
        <v>1867</v>
      </c>
      <c r="F230" s="229" t="s">
        <v>1868</v>
      </c>
      <c r="G230" s="230" t="s">
        <v>1631</v>
      </c>
      <c r="H230" s="231">
        <v>3</v>
      </c>
      <c r="I230" s="232"/>
      <c r="J230" s="233">
        <f t="shared" si="30"/>
        <v>0</v>
      </c>
      <c r="K230" s="234"/>
      <c r="L230" s="235"/>
      <c r="M230" s="236" t="s">
        <v>4</v>
      </c>
      <c r="N230" s="237" t="s">
        <v>1539</v>
      </c>
      <c r="P230" s="238">
        <f t="shared" si="31"/>
        <v>0</v>
      </c>
      <c r="Q230" s="238">
        <v>0</v>
      </c>
      <c r="R230" s="238">
        <f t="shared" si="32"/>
        <v>0</v>
      </c>
      <c r="S230" s="238">
        <v>0</v>
      </c>
      <c r="T230" s="239">
        <f t="shared" si="33"/>
        <v>0</v>
      </c>
      <c r="AR230" s="240" t="s">
        <v>1018</v>
      </c>
      <c r="AT230" s="240" t="s">
        <v>1593</v>
      </c>
      <c r="AU230" s="240" t="s">
        <v>221</v>
      </c>
      <c r="AY230" s="146" t="s">
        <v>1590</v>
      </c>
      <c r="BE230" s="241">
        <f t="shared" si="34"/>
        <v>0</v>
      </c>
      <c r="BF230" s="241">
        <f t="shared" si="35"/>
        <v>0</v>
      </c>
      <c r="BG230" s="241">
        <f t="shared" si="36"/>
        <v>0</v>
      </c>
      <c r="BH230" s="241">
        <f t="shared" si="37"/>
        <v>0</v>
      </c>
      <c r="BI230" s="241">
        <f t="shared" si="38"/>
        <v>0</v>
      </c>
      <c r="BJ230" s="146" t="s">
        <v>213</v>
      </c>
      <c r="BK230" s="241">
        <f t="shared" si="39"/>
        <v>0</v>
      </c>
      <c r="BL230" s="146" t="s">
        <v>123</v>
      </c>
      <c r="BM230" s="240" t="s">
        <v>1869</v>
      </c>
    </row>
    <row r="231" spans="2:65" s="152" customFormat="1" ht="16.5" customHeight="1" x14ac:dyDescent="0.25">
      <c r="B231" s="226"/>
      <c r="C231" s="242" t="s">
        <v>165</v>
      </c>
      <c r="D231" s="242" t="s">
        <v>1598</v>
      </c>
      <c r="E231" s="243" t="s">
        <v>1870</v>
      </c>
      <c r="F231" s="244" t="s">
        <v>1871</v>
      </c>
      <c r="G231" s="245" t="s">
        <v>309</v>
      </c>
      <c r="H231" s="246">
        <v>6</v>
      </c>
      <c r="I231" s="247"/>
      <c r="J231" s="248">
        <f t="shared" si="30"/>
        <v>0</v>
      </c>
      <c r="K231" s="249"/>
      <c r="L231" s="153"/>
      <c r="M231" s="250" t="s">
        <v>4</v>
      </c>
      <c r="N231" s="251" t="s">
        <v>1539</v>
      </c>
      <c r="P231" s="238">
        <f t="shared" si="31"/>
        <v>0</v>
      </c>
      <c r="Q231" s="238">
        <v>0</v>
      </c>
      <c r="R231" s="238">
        <f t="shared" si="32"/>
        <v>0</v>
      </c>
      <c r="S231" s="238">
        <v>0</v>
      </c>
      <c r="T231" s="239">
        <f t="shared" si="33"/>
        <v>0</v>
      </c>
      <c r="AR231" s="240" t="s">
        <v>123</v>
      </c>
      <c r="AT231" s="240" t="s">
        <v>1598</v>
      </c>
      <c r="AU231" s="240" t="s">
        <v>221</v>
      </c>
      <c r="AY231" s="146" t="s">
        <v>1590</v>
      </c>
      <c r="BE231" s="241">
        <f t="shared" si="34"/>
        <v>0</v>
      </c>
      <c r="BF231" s="241">
        <f t="shared" si="35"/>
        <v>0</v>
      </c>
      <c r="BG231" s="241">
        <f t="shared" si="36"/>
        <v>0</v>
      </c>
      <c r="BH231" s="241">
        <f t="shared" si="37"/>
        <v>0</v>
      </c>
      <c r="BI231" s="241">
        <f t="shared" si="38"/>
        <v>0</v>
      </c>
      <c r="BJ231" s="146" t="s">
        <v>213</v>
      </c>
      <c r="BK231" s="241">
        <f t="shared" si="39"/>
        <v>0</v>
      </c>
      <c r="BL231" s="146" t="s">
        <v>123</v>
      </c>
      <c r="BM231" s="240" t="s">
        <v>1872</v>
      </c>
    </row>
    <row r="232" spans="2:65" s="152" customFormat="1" ht="16.5" customHeight="1" x14ac:dyDescent="0.25">
      <c r="B232" s="226"/>
      <c r="C232" s="227" t="s">
        <v>505</v>
      </c>
      <c r="D232" s="227" t="s">
        <v>1593</v>
      </c>
      <c r="E232" s="228" t="s">
        <v>1873</v>
      </c>
      <c r="F232" s="229" t="s">
        <v>1874</v>
      </c>
      <c r="G232" s="230" t="s">
        <v>1465</v>
      </c>
      <c r="H232" s="231">
        <v>6</v>
      </c>
      <c r="I232" s="232"/>
      <c r="J232" s="233">
        <f t="shared" si="30"/>
        <v>0</v>
      </c>
      <c r="K232" s="234"/>
      <c r="L232" s="235"/>
      <c r="M232" s="236" t="s">
        <v>4</v>
      </c>
      <c r="N232" s="237" t="s">
        <v>1539</v>
      </c>
      <c r="P232" s="238">
        <f t="shared" si="31"/>
        <v>0</v>
      </c>
      <c r="Q232" s="238">
        <v>0</v>
      </c>
      <c r="R232" s="238">
        <f t="shared" si="32"/>
        <v>0</v>
      </c>
      <c r="S232" s="238">
        <v>0</v>
      </c>
      <c r="T232" s="239">
        <f t="shared" si="33"/>
        <v>0</v>
      </c>
      <c r="AR232" s="240" t="s">
        <v>1018</v>
      </c>
      <c r="AT232" s="240" t="s">
        <v>1593</v>
      </c>
      <c r="AU232" s="240" t="s">
        <v>221</v>
      </c>
      <c r="AY232" s="146" t="s">
        <v>1590</v>
      </c>
      <c r="BE232" s="241">
        <f t="shared" si="34"/>
        <v>0</v>
      </c>
      <c r="BF232" s="241">
        <f t="shared" si="35"/>
        <v>0</v>
      </c>
      <c r="BG232" s="241">
        <f t="shared" si="36"/>
        <v>0</v>
      </c>
      <c r="BH232" s="241">
        <f t="shared" si="37"/>
        <v>0</v>
      </c>
      <c r="BI232" s="241">
        <f t="shared" si="38"/>
        <v>0</v>
      </c>
      <c r="BJ232" s="146" t="s">
        <v>213</v>
      </c>
      <c r="BK232" s="241">
        <f t="shared" si="39"/>
        <v>0</v>
      </c>
      <c r="BL232" s="146" t="s">
        <v>123</v>
      </c>
      <c r="BM232" s="240" t="s">
        <v>1875</v>
      </c>
    </row>
    <row r="233" spans="2:65" s="152" customFormat="1" ht="33" customHeight="1" x14ac:dyDescent="0.25">
      <c r="B233" s="226"/>
      <c r="C233" s="242" t="s">
        <v>508</v>
      </c>
      <c r="D233" s="242" t="s">
        <v>1598</v>
      </c>
      <c r="E233" s="243" t="s">
        <v>1876</v>
      </c>
      <c r="F233" s="244" t="s">
        <v>1877</v>
      </c>
      <c r="G233" s="245" t="s">
        <v>313</v>
      </c>
      <c r="H233" s="246">
        <v>54</v>
      </c>
      <c r="I233" s="247"/>
      <c r="J233" s="248">
        <f t="shared" si="30"/>
        <v>0</v>
      </c>
      <c r="K233" s="249"/>
      <c r="L233" s="153"/>
      <c r="M233" s="250" t="s">
        <v>4</v>
      </c>
      <c r="N233" s="251" t="s">
        <v>1539</v>
      </c>
      <c r="P233" s="238">
        <f t="shared" si="31"/>
        <v>0</v>
      </c>
      <c r="Q233" s="238">
        <v>0</v>
      </c>
      <c r="R233" s="238">
        <f t="shared" si="32"/>
        <v>0</v>
      </c>
      <c r="S233" s="238">
        <v>0</v>
      </c>
      <c r="T233" s="239">
        <f t="shared" si="33"/>
        <v>0</v>
      </c>
      <c r="AR233" s="240" t="s">
        <v>123</v>
      </c>
      <c r="AT233" s="240" t="s">
        <v>1598</v>
      </c>
      <c r="AU233" s="240" t="s">
        <v>221</v>
      </c>
      <c r="AY233" s="146" t="s">
        <v>1590</v>
      </c>
      <c r="BE233" s="241">
        <f t="shared" si="34"/>
        <v>0</v>
      </c>
      <c r="BF233" s="241">
        <f t="shared" si="35"/>
        <v>0</v>
      </c>
      <c r="BG233" s="241">
        <f t="shared" si="36"/>
        <v>0</v>
      </c>
      <c r="BH233" s="241">
        <f t="shared" si="37"/>
        <v>0</v>
      </c>
      <c r="BI233" s="241">
        <f t="shared" si="38"/>
        <v>0</v>
      </c>
      <c r="BJ233" s="146" t="s">
        <v>213</v>
      </c>
      <c r="BK233" s="241">
        <f t="shared" si="39"/>
        <v>0</v>
      </c>
      <c r="BL233" s="146" t="s">
        <v>123</v>
      </c>
      <c r="BM233" s="240" t="s">
        <v>1878</v>
      </c>
    </row>
    <row r="234" spans="2:65" s="152" customFormat="1" ht="24.2" customHeight="1" x14ac:dyDescent="0.25">
      <c r="B234" s="226"/>
      <c r="C234" s="242" t="s">
        <v>167</v>
      </c>
      <c r="D234" s="242" t="s">
        <v>1598</v>
      </c>
      <c r="E234" s="243" t="s">
        <v>1879</v>
      </c>
      <c r="F234" s="244" t="s">
        <v>1880</v>
      </c>
      <c r="G234" s="245" t="s">
        <v>309</v>
      </c>
      <c r="H234" s="246">
        <v>5</v>
      </c>
      <c r="I234" s="247"/>
      <c r="J234" s="248">
        <f t="shared" si="30"/>
        <v>0</v>
      </c>
      <c r="K234" s="249"/>
      <c r="L234" s="153"/>
      <c r="M234" s="250" t="s">
        <v>4</v>
      </c>
      <c r="N234" s="251" t="s">
        <v>1539</v>
      </c>
      <c r="P234" s="238">
        <f t="shared" si="31"/>
        <v>0</v>
      </c>
      <c r="Q234" s="238">
        <v>0</v>
      </c>
      <c r="R234" s="238">
        <f t="shared" si="32"/>
        <v>0</v>
      </c>
      <c r="S234" s="238">
        <v>0</v>
      </c>
      <c r="T234" s="239">
        <f t="shared" si="33"/>
        <v>0</v>
      </c>
      <c r="AR234" s="240" t="s">
        <v>123</v>
      </c>
      <c r="AT234" s="240" t="s">
        <v>1598</v>
      </c>
      <c r="AU234" s="240" t="s">
        <v>221</v>
      </c>
      <c r="AY234" s="146" t="s">
        <v>1590</v>
      </c>
      <c r="BE234" s="241">
        <f t="shared" si="34"/>
        <v>0</v>
      </c>
      <c r="BF234" s="241">
        <f t="shared" si="35"/>
        <v>0</v>
      </c>
      <c r="BG234" s="241">
        <f t="shared" si="36"/>
        <v>0</v>
      </c>
      <c r="BH234" s="241">
        <f t="shared" si="37"/>
        <v>0</v>
      </c>
      <c r="BI234" s="241">
        <f t="shared" si="38"/>
        <v>0</v>
      </c>
      <c r="BJ234" s="146" t="s">
        <v>213</v>
      </c>
      <c r="BK234" s="241">
        <f t="shared" si="39"/>
        <v>0</v>
      </c>
      <c r="BL234" s="146" t="s">
        <v>123</v>
      </c>
      <c r="BM234" s="240" t="s">
        <v>1881</v>
      </c>
    </row>
    <row r="235" spans="2:65" s="152" customFormat="1" ht="16.5" customHeight="1" x14ac:dyDescent="0.25">
      <c r="B235" s="226"/>
      <c r="C235" s="227" t="s">
        <v>169</v>
      </c>
      <c r="D235" s="227" t="s">
        <v>1593</v>
      </c>
      <c r="E235" s="228" t="s">
        <v>1882</v>
      </c>
      <c r="F235" s="229" t="s">
        <v>1883</v>
      </c>
      <c r="G235" s="230" t="s">
        <v>1465</v>
      </c>
      <c r="H235" s="231">
        <v>5</v>
      </c>
      <c r="I235" s="232"/>
      <c r="J235" s="233">
        <f t="shared" si="30"/>
        <v>0</v>
      </c>
      <c r="K235" s="234"/>
      <c r="L235" s="235"/>
      <c r="M235" s="236" t="s">
        <v>4</v>
      </c>
      <c r="N235" s="237" t="s">
        <v>1539</v>
      </c>
      <c r="P235" s="238">
        <f t="shared" si="31"/>
        <v>0</v>
      </c>
      <c r="Q235" s="238">
        <v>0</v>
      </c>
      <c r="R235" s="238">
        <f t="shared" si="32"/>
        <v>0</v>
      </c>
      <c r="S235" s="238">
        <v>0</v>
      </c>
      <c r="T235" s="239">
        <f t="shared" si="33"/>
        <v>0</v>
      </c>
      <c r="AR235" s="240" t="s">
        <v>1018</v>
      </c>
      <c r="AT235" s="240" t="s">
        <v>1593</v>
      </c>
      <c r="AU235" s="240" t="s">
        <v>221</v>
      </c>
      <c r="AY235" s="146" t="s">
        <v>1590</v>
      </c>
      <c r="BE235" s="241">
        <f t="shared" si="34"/>
        <v>0</v>
      </c>
      <c r="BF235" s="241">
        <f t="shared" si="35"/>
        <v>0</v>
      </c>
      <c r="BG235" s="241">
        <f t="shared" si="36"/>
        <v>0</v>
      </c>
      <c r="BH235" s="241">
        <f t="shared" si="37"/>
        <v>0</v>
      </c>
      <c r="BI235" s="241">
        <f t="shared" si="38"/>
        <v>0</v>
      </c>
      <c r="BJ235" s="146" t="s">
        <v>213</v>
      </c>
      <c r="BK235" s="241">
        <f t="shared" si="39"/>
        <v>0</v>
      </c>
      <c r="BL235" s="146" t="s">
        <v>123</v>
      </c>
      <c r="BM235" s="240" t="s">
        <v>1884</v>
      </c>
    </row>
    <row r="236" spans="2:65" s="152" customFormat="1" ht="24.2" customHeight="1" x14ac:dyDescent="0.25">
      <c r="B236" s="226"/>
      <c r="C236" s="242" t="s">
        <v>171</v>
      </c>
      <c r="D236" s="242" t="s">
        <v>1598</v>
      </c>
      <c r="E236" s="243" t="s">
        <v>1885</v>
      </c>
      <c r="F236" s="244" t="s">
        <v>1886</v>
      </c>
      <c r="G236" s="245" t="s">
        <v>313</v>
      </c>
      <c r="H236" s="246">
        <v>180</v>
      </c>
      <c r="I236" s="247"/>
      <c r="J236" s="248">
        <f t="shared" si="30"/>
        <v>0</v>
      </c>
      <c r="K236" s="249"/>
      <c r="L236" s="153"/>
      <c r="M236" s="250" t="s">
        <v>4</v>
      </c>
      <c r="N236" s="251" t="s">
        <v>1539</v>
      </c>
      <c r="P236" s="238">
        <f t="shared" si="31"/>
        <v>0</v>
      </c>
      <c r="Q236" s="238">
        <v>0</v>
      </c>
      <c r="R236" s="238">
        <f t="shared" si="32"/>
        <v>0</v>
      </c>
      <c r="S236" s="238">
        <v>0</v>
      </c>
      <c r="T236" s="239">
        <f t="shared" si="33"/>
        <v>0</v>
      </c>
      <c r="AR236" s="240" t="s">
        <v>123</v>
      </c>
      <c r="AT236" s="240" t="s">
        <v>1598</v>
      </c>
      <c r="AU236" s="240" t="s">
        <v>221</v>
      </c>
      <c r="AY236" s="146" t="s">
        <v>1590</v>
      </c>
      <c r="BE236" s="241">
        <f t="shared" si="34"/>
        <v>0</v>
      </c>
      <c r="BF236" s="241">
        <f t="shared" si="35"/>
        <v>0</v>
      </c>
      <c r="BG236" s="241">
        <f t="shared" si="36"/>
        <v>0</v>
      </c>
      <c r="BH236" s="241">
        <f t="shared" si="37"/>
        <v>0</v>
      </c>
      <c r="BI236" s="241">
        <f t="shared" si="38"/>
        <v>0</v>
      </c>
      <c r="BJ236" s="146" t="s">
        <v>213</v>
      </c>
      <c r="BK236" s="241">
        <f t="shared" si="39"/>
        <v>0</v>
      </c>
      <c r="BL236" s="146" t="s">
        <v>123</v>
      </c>
      <c r="BM236" s="240" t="s">
        <v>1887</v>
      </c>
    </row>
    <row r="237" spans="2:65" s="152" customFormat="1" ht="16.5" customHeight="1" x14ac:dyDescent="0.25">
      <c r="B237" s="226"/>
      <c r="C237" s="227" t="s">
        <v>517</v>
      </c>
      <c r="D237" s="227" t="s">
        <v>1593</v>
      </c>
      <c r="E237" s="228" t="s">
        <v>1888</v>
      </c>
      <c r="F237" s="229" t="s">
        <v>1889</v>
      </c>
      <c r="G237" s="230" t="s">
        <v>313</v>
      </c>
      <c r="H237" s="231">
        <v>180</v>
      </c>
      <c r="I237" s="232"/>
      <c r="J237" s="233">
        <f t="shared" si="30"/>
        <v>0</v>
      </c>
      <c r="K237" s="234"/>
      <c r="L237" s="235"/>
      <c r="M237" s="236" t="s">
        <v>4</v>
      </c>
      <c r="N237" s="237" t="s">
        <v>1539</v>
      </c>
      <c r="P237" s="238">
        <f t="shared" si="31"/>
        <v>0</v>
      </c>
      <c r="Q237" s="238">
        <v>0</v>
      </c>
      <c r="R237" s="238">
        <f t="shared" si="32"/>
        <v>0</v>
      </c>
      <c r="S237" s="238">
        <v>0</v>
      </c>
      <c r="T237" s="239">
        <f t="shared" si="33"/>
        <v>0</v>
      </c>
      <c r="AR237" s="240" t="s">
        <v>1018</v>
      </c>
      <c r="AT237" s="240" t="s">
        <v>1593</v>
      </c>
      <c r="AU237" s="240" t="s">
        <v>221</v>
      </c>
      <c r="AY237" s="146" t="s">
        <v>1590</v>
      </c>
      <c r="BE237" s="241">
        <f t="shared" si="34"/>
        <v>0</v>
      </c>
      <c r="BF237" s="241">
        <f t="shared" si="35"/>
        <v>0</v>
      </c>
      <c r="BG237" s="241">
        <f t="shared" si="36"/>
        <v>0</v>
      </c>
      <c r="BH237" s="241">
        <f t="shared" si="37"/>
        <v>0</v>
      </c>
      <c r="BI237" s="241">
        <f t="shared" si="38"/>
        <v>0</v>
      </c>
      <c r="BJ237" s="146" t="s">
        <v>213</v>
      </c>
      <c r="BK237" s="241">
        <f t="shared" si="39"/>
        <v>0</v>
      </c>
      <c r="BL237" s="146" t="s">
        <v>123</v>
      </c>
      <c r="BM237" s="240" t="s">
        <v>1890</v>
      </c>
    </row>
    <row r="238" spans="2:65" s="152" customFormat="1" ht="24.2" customHeight="1" x14ac:dyDescent="0.25">
      <c r="B238" s="226"/>
      <c r="C238" s="242" t="s">
        <v>520</v>
      </c>
      <c r="D238" s="242" t="s">
        <v>1598</v>
      </c>
      <c r="E238" s="243" t="s">
        <v>1885</v>
      </c>
      <c r="F238" s="244" t="s">
        <v>1886</v>
      </c>
      <c r="G238" s="245" t="s">
        <v>313</v>
      </c>
      <c r="H238" s="246">
        <v>60</v>
      </c>
      <c r="I238" s="247"/>
      <c r="J238" s="248">
        <f t="shared" si="30"/>
        <v>0</v>
      </c>
      <c r="K238" s="249"/>
      <c r="L238" s="153"/>
      <c r="M238" s="250" t="s">
        <v>4</v>
      </c>
      <c r="N238" s="251" t="s">
        <v>1539</v>
      </c>
      <c r="P238" s="238">
        <f t="shared" si="31"/>
        <v>0</v>
      </c>
      <c r="Q238" s="238">
        <v>0</v>
      </c>
      <c r="R238" s="238">
        <f t="shared" si="32"/>
        <v>0</v>
      </c>
      <c r="S238" s="238">
        <v>0</v>
      </c>
      <c r="T238" s="239">
        <f t="shared" si="33"/>
        <v>0</v>
      </c>
      <c r="AR238" s="240" t="s">
        <v>123</v>
      </c>
      <c r="AT238" s="240" t="s">
        <v>1598</v>
      </c>
      <c r="AU238" s="240" t="s">
        <v>221</v>
      </c>
      <c r="AY238" s="146" t="s">
        <v>1590</v>
      </c>
      <c r="BE238" s="241">
        <f t="shared" si="34"/>
        <v>0</v>
      </c>
      <c r="BF238" s="241">
        <f t="shared" si="35"/>
        <v>0</v>
      </c>
      <c r="BG238" s="241">
        <f t="shared" si="36"/>
        <v>0</v>
      </c>
      <c r="BH238" s="241">
        <f t="shared" si="37"/>
        <v>0</v>
      </c>
      <c r="BI238" s="241">
        <f t="shared" si="38"/>
        <v>0</v>
      </c>
      <c r="BJ238" s="146" t="s">
        <v>213</v>
      </c>
      <c r="BK238" s="241">
        <f t="shared" si="39"/>
        <v>0</v>
      </c>
      <c r="BL238" s="146" t="s">
        <v>123</v>
      </c>
      <c r="BM238" s="240" t="s">
        <v>1891</v>
      </c>
    </row>
    <row r="239" spans="2:65" s="152" customFormat="1" ht="16.5" customHeight="1" x14ac:dyDescent="0.25">
      <c r="B239" s="226"/>
      <c r="C239" s="227" t="s">
        <v>523</v>
      </c>
      <c r="D239" s="227" t="s">
        <v>1593</v>
      </c>
      <c r="E239" s="228" t="s">
        <v>1892</v>
      </c>
      <c r="F239" s="229" t="s">
        <v>1893</v>
      </c>
      <c r="G239" s="230" t="s">
        <v>313</v>
      </c>
      <c r="H239" s="231">
        <v>60</v>
      </c>
      <c r="I239" s="232"/>
      <c r="J239" s="233">
        <f t="shared" si="30"/>
        <v>0</v>
      </c>
      <c r="K239" s="234"/>
      <c r="L239" s="235"/>
      <c r="M239" s="236" t="s">
        <v>4</v>
      </c>
      <c r="N239" s="237" t="s">
        <v>1539</v>
      </c>
      <c r="P239" s="238">
        <f t="shared" si="31"/>
        <v>0</v>
      </c>
      <c r="Q239" s="238">
        <v>0</v>
      </c>
      <c r="R239" s="238">
        <f t="shared" si="32"/>
        <v>0</v>
      </c>
      <c r="S239" s="238">
        <v>0</v>
      </c>
      <c r="T239" s="239">
        <f t="shared" si="33"/>
        <v>0</v>
      </c>
      <c r="AR239" s="240" t="s">
        <v>1018</v>
      </c>
      <c r="AT239" s="240" t="s">
        <v>1593</v>
      </c>
      <c r="AU239" s="240" t="s">
        <v>221</v>
      </c>
      <c r="AY239" s="146" t="s">
        <v>1590</v>
      </c>
      <c r="BE239" s="241">
        <f t="shared" si="34"/>
        <v>0</v>
      </c>
      <c r="BF239" s="241">
        <f t="shared" si="35"/>
        <v>0</v>
      </c>
      <c r="BG239" s="241">
        <f t="shared" si="36"/>
        <v>0</v>
      </c>
      <c r="BH239" s="241">
        <f t="shared" si="37"/>
        <v>0</v>
      </c>
      <c r="BI239" s="241">
        <f t="shared" si="38"/>
        <v>0</v>
      </c>
      <c r="BJ239" s="146" t="s">
        <v>213</v>
      </c>
      <c r="BK239" s="241">
        <f t="shared" si="39"/>
        <v>0</v>
      </c>
      <c r="BL239" s="146" t="s">
        <v>123</v>
      </c>
      <c r="BM239" s="240" t="s">
        <v>1894</v>
      </c>
    </row>
    <row r="240" spans="2:65" s="152" customFormat="1" ht="24.2" customHeight="1" x14ac:dyDescent="0.25">
      <c r="B240" s="226"/>
      <c r="C240" s="242" t="s">
        <v>527</v>
      </c>
      <c r="D240" s="242" t="s">
        <v>1598</v>
      </c>
      <c r="E240" s="243" t="s">
        <v>1885</v>
      </c>
      <c r="F240" s="244" t="s">
        <v>1886</v>
      </c>
      <c r="G240" s="245" t="s">
        <v>313</v>
      </c>
      <c r="H240" s="246">
        <v>120</v>
      </c>
      <c r="I240" s="247"/>
      <c r="J240" s="248">
        <f t="shared" si="30"/>
        <v>0</v>
      </c>
      <c r="K240" s="249"/>
      <c r="L240" s="153"/>
      <c r="M240" s="250" t="s">
        <v>4</v>
      </c>
      <c r="N240" s="251" t="s">
        <v>1539</v>
      </c>
      <c r="P240" s="238">
        <f t="shared" si="31"/>
        <v>0</v>
      </c>
      <c r="Q240" s="238">
        <v>0</v>
      </c>
      <c r="R240" s="238">
        <f t="shared" si="32"/>
        <v>0</v>
      </c>
      <c r="S240" s="238">
        <v>0</v>
      </c>
      <c r="T240" s="239">
        <f t="shared" si="33"/>
        <v>0</v>
      </c>
      <c r="AR240" s="240" t="s">
        <v>123</v>
      </c>
      <c r="AT240" s="240" t="s">
        <v>1598</v>
      </c>
      <c r="AU240" s="240" t="s">
        <v>221</v>
      </c>
      <c r="AY240" s="146" t="s">
        <v>1590</v>
      </c>
      <c r="BE240" s="241">
        <f t="shared" si="34"/>
        <v>0</v>
      </c>
      <c r="BF240" s="241">
        <f t="shared" si="35"/>
        <v>0</v>
      </c>
      <c r="BG240" s="241">
        <f t="shared" si="36"/>
        <v>0</v>
      </c>
      <c r="BH240" s="241">
        <f t="shared" si="37"/>
        <v>0</v>
      </c>
      <c r="BI240" s="241">
        <f t="shared" si="38"/>
        <v>0</v>
      </c>
      <c r="BJ240" s="146" t="s">
        <v>213</v>
      </c>
      <c r="BK240" s="241">
        <f t="shared" si="39"/>
        <v>0</v>
      </c>
      <c r="BL240" s="146" t="s">
        <v>123</v>
      </c>
      <c r="BM240" s="240" t="s">
        <v>1895</v>
      </c>
    </row>
    <row r="241" spans="2:65" s="152" customFormat="1" ht="16.5" customHeight="1" x14ac:dyDescent="0.25">
      <c r="B241" s="226"/>
      <c r="C241" s="227" t="s">
        <v>530</v>
      </c>
      <c r="D241" s="227" t="s">
        <v>1593</v>
      </c>
      <c r="E241" s="228" t="s">
        <v>1896</v>
      </c>
      <c r="F241" s="229" t="s">
        <v>1897</v>
      </c>
      <c r="G241" s="230" t="s">
        <v>313</v>
      </c>
      <c r="H241" s="231">
        <v>120</v>
      </c>
      <c r="I241" s="232"/>
      <c r="J241" s="233">
        <f t="shared" si="30"/>
        <v>0</v>
      </c>
      <c r="K241" s="234"/>
      <c r="L241" s="235"/>
      <c r="M241" s="236" t="s">
        <v>4</v>
      </c>
      <c r="N241" s="237" t="s">
        <v>1539</v>
      </c>
      <c r="P241" s="238">
        <f t="shared" si="31"/>
        <v>0</v>
      </c>
      <c r="Q241" s="238">
        <v>0</v>
      </c>
      <c r="R241" s="238">
        <f t="shared" si="32"/>
        <v>0</v>
      </c>
      <c r="S241" s="238">
        <v>0</v>
      </c>
      <c r="T241" s="239">
        <f t="shared" si="33"/>
        <v>0</v>
      </c>
      <c r="AR241" s="240" t="s">
        <v>1018</v>
      </c>
      <c r="AT241" s="240" t="s">
        <v>1593</v>
      </c>
      <c r="AU241" s="240" t="s">
        <v>221</v>
      </c>
      <c r="AY241" s="146" t="s">
        <v>1590</v>
      </c>
      <c r="BE241" s="241">
        <f t="shared" si="34"/>
        <v>0</v>
      </c>
      <c r="BF241" s="241">
        <f t="shared" si="35"/>
        <v>0</v>
      </c>
      <c r="BG241" s="241">
        <f t="shared" si="36"/>
        <v>0</v>
      </c>
      <c r="BH241" s="241">
        <f t="shared" si="37"/>
        <v>0</v>
      </c>
      <c r="BI241" s="241">
        <f t="shared" si="38"/>
        <v>0</v>
      </c>
      <c r="BJ241" s="146" t="s">
        <v>213</v>
      </c>
      <c r="BK241" s="241">
        <f t="shared" si="39"/>
        <v>0</v>
      </c>
      <c r="BL241" s="146" t="s">
        <v>123</v>
      </c>
      <c r="BM241" s="240" t="s">
        <v>1898</v>
      </c>
    </row>
    <row r="242" spans="2:65" s="152" customFormat="1" ht="24.2" customHeight="1" x14ac:dyDescent="0.25">
      <c r="B242" s="226"/>
      <c r="C242" s="242" t="s">
        <v>533</v>
      </c>
      <c r="D242" s="242" t="s">
        <v>1598</v>
      </c>
      <c r="E242" s="243" t="s">
        <v>1899</v>
      </c>
      <c r="F242" s="244" t="s">
        <v>1886</v>
      </c>
      <c r="G242" s="245" t="s">
        <v>313</v>
      </c>
      <c r="H242" s="246">
        <v>30</v>
      </c>
      <c r="I242" s="247"/>
      <c r="J242" s="248">
        <f t="shared" si="30"/>
        <v>0</v>
      </c>
      <c r="K242" s="249"/>
      <c r="L242" s="153"/>
      <c r="M242" s="250" t="s">
        <v>4</v>
      </c>
      <c r="N242" s="251" t="s">
        <v>1539</v>
      </c>
      <c r="P242" s="238">
        <f t="shared" si="31"/>
        <v>0</v>
      </c>
      <c r="Q242" s="238">
        <v>0</v>
      </c>
      <c r="R242" s="238">
        <f t="shared" si="32"/>
        <v>0</v>
      </c>
      <c r="S242" s="238">
        <v>0</v>
      </c>
      <c r="T242" s="239">
        <f t="shared" si="33"/>
        <v>0</v>
      </c>
      <c r="AR242" s="240" t="s">
        <v>123</v>
      </c>
      <c r="AT242" s="240" t="s">
        <v>1598</v>
      </c>
      <c r="AU242" s="240" t="s">
        <v>221</v>
      </c>
      <c r="AY242" s="146" t="s">
        <v>1590</v>
      </c>
      <c r="BE242" s="241">
        <f t="shared" si="34"/>
        <v>0</v>
      </c>
      <c r="BF242" s="241">
        <f t="shared" si="35"/>
        <v>0</v>
      </c>
      <c r="BG242" s="241">
        <f t="shared" si="36"/>
        <v>0</v>
      </c>
      <c r="BH242" s="241">
        <f t="shared" si="37"/>
        <v>0</v>
      </c>
      <c r="BI242" s="241">
        <f t="shared" si="38"/>
        <v>0</v>
      </c>
      <c r="BJ242" s="146" t="s">
        <v>213</v>
      </c>
      <c r="BK242" s="241">
        <f t="shared" si="39"/>
        <v>0</v>
      </c>
      <c r="BL242" s="146" t="s">
        <v>123</v>
      </c>
      <c r="BM242" s="240" t="s">
        <v>1900</v>
      </c>
    </row>
    <row r="243" spans="2:65" s="152" customFormat="1" ht="16.5" customHeight="1" x14ac:dyDescent="0.25">
      <c r="B243" s="226"/>
      <c r="C243" s="227" t="s">
        <v>536</v>
      </c>
      <c r="D243" s="227" t="s">
        <v>1593</v>
      </c>
      <c r="E243" s="228" t="s">
        <v>1901</v>
      </c>
      <c r="F243" s="229" t="s">
        <v>1902</v>
      </c>
      <c r="G243" s="230" t="s">
        <v>313</v>
      </c>
      <c r="H243" s="231">
        <v>30</v>
      </c>
      <c r="I243" s="232"/>
      <c r="J243" s="233">
        <f t="shared" si="30"/>
        <v>0</v>
      </c>
      <c r="K243" s="234"/>
      <c r="L243" s="235"/>
      <c r="M243" s="236" t="s">
        <v>4</v>
      </c>
      <c r="N243" s="237" t="s">
        <v>1539</v>
      </c>
      <c r="P243" s="238">
        <f t="shared" si="31"/>
        <v>0</v>
      </c>
      <c r="Q243" s="238">
        <v>2.7E-4</v>
      </c>
      <c r="R243" s="238">
        <f t="shared" si="32"/>
        <v>8.0999999999999996E-3</v>
      </c>
      <c r="S243" s="238">
        <v>0</v>
      </c>
      <c r="T243" s="239">
        <f t="shared" si="33"/>
        <v>0</v>
      </c>
      <c r="AR243" s="240" t="s">
        <v>615</v>
      </c>
      <c r="AT243" s="240" t="s">
        <v>1593</v>
      </c>
      <c r="AU243" s="240" t="s">
        <v>221</v>
      </c>
      <c r="AY243" s="146" t="s">
        <v>1590</v>
      </c>
      <c r="BE243" s="241">
        <f t="shared" si="34"/>
        <v>0</v>
      </c>
      <c r="BF243" s="241">
        <f t="shared" si="35"/>
        <v>0</v>
      </c>
      <c r="BG243" s="241">
        <f t="shared" si="36"/>
        <v>0</v>
      </c>
      <c r="BH243" s="241">
        <f t="shared" si="37"/>
        <v>0</v>
      </c>
      <c r="BI243" s="241">
        <f t="shared" si="38"/>
        <v>0</v>
      </c>
      <c r="BJ243" s="146" t="s">
        <v>213</v>
      </c>
      <c r="BK243" s="241">
        <f t="shared" si="39"/>
        <v>0</v>
      </c>
      <c r="BL243" s="146" t="s">
        <v>615</v>
      </c>
      <c r="BM243" s="240" t="s">
        <v>1903</v>
      </c>
    </row>
    <row r="244" spans="2:65" s="152" customFormat="1" ht="33" customHeight="1" x14ac:dyDescent="0.25">
      <c r="B244" s="226"/>
      <c r="C244" s="242" t="s">
        <v>539</v>
      </c>
      <c r="D244" s="242" t="s">
        <v>1598</v>
      </c>
      <c r="E244" s="243" t="s">
        <v>1904</v>
      </c>
      <c r="F244" s="244" t="s">
        <v>1905</v>
      </c>
      <c r="G244" s="245" t="s">
        <v>313</v>
      </c>
      <c r="H244" s="246">
        <v>30</v>
      </c>
      <c r="I244" s="247"/>
      <c r="J244" s="248">
        <f t="shared" si="30"/>
        <v>0</v>
      </c>
      <c r="K244" s="249"/>
      <c r="L244" s="153"/>
      <c r="M244" s="250" t="s">
        <v>4</v>
      </c>
      <c r="N244" s="251" t="s">
        <v>1539</v>
      </c>
      <c r="P244" s="238">
        <f t="shared" si="31"/>
        <v>0</v>
      </c>
      <c r="Q244" s="238">
        <v>0</v>
      </c>
      <c r="R244" s="238">
        <f t="shared" si="32"/>
        <v>0</v>
      </c>
      <c r="S244" s="238">
        <v>0</v>
      </c>
      <c r="T244" s="239">
        <f t="shared" si="33"/>
        <v>0</v>
      </c>
      <c r="AR244" s="240" t="s">
        <v>123</v>
      </c>
      <c r="AT244" s="240" t="s">
        <v>1598</v>
      </c>
      <c r="AU244" s="240" t="s">
        <v>221</v>
      </c>
      <c r="AY244" s="146" t="s">
        <v>1590</v>
      </c>
      <c r="BE244" s="241">
        <f t="shared" si="34"/>
        <v>0</v>
      </c>
      <c r="BF244" s="241">
        <f t="shared" si="35"/>
        <v>0</v>
      </c>
      <c r="BG244" s="241">
        <f t="shared" si="36"/>
        <v>0</v>
      </c>
      <c r="BH244" s="241">
        <f t="shared" si="37"/>
        <v>0</v>
      </c>
      <c r="BI244" s="241">
        <f t="shared" si="38"/>
        <v>0</v>
      </c>
      <c r="BJ244" s="146" t="s">
        <v>213</v>
      </c>
      <c r="BK244" s="241">
        <f t="shared" si="39"/>
        <v>0</v>
      </c>
      <c r="BL244" s="146" t="s">
        <v>123</v>
      </c>
      <c r="BM244" s="240" t="s">
        <v>1906</v>
      </c>
    </row>
    <row r="245" spans="2:65" s="152" customFormat="1" ht="24.2" customHeight="1" x14ac:dyDescent="0.25">
      <c r="B245" s="226"/>
      <c r="C245" s="227" t="s">
        <v>542</v>
      </c>
      <c r="D245" s="227" t="s">
        <v>1593</v>
      </c>
      <c r="E245" s="228" t="s">
        <v>1907</v>
      </c>
      <c r="F245" s="229" t="s">
        <v>1908</v>
      </c>
      <c r="G245" s="230" t="s">
        <v>313</v>
      </c>
      <c r="H245" s="231">
        <v>30</v>
      </c>
      <c r="I245" s="232"/>
      <c r="J245" s="233">
        <f t="shared" si="30"/>
        <v>0</v>
      </c>
      <c r="K245" s="234"/>
      <c r="L245" s="235"/>
      <c r="M245" s="236" t="s">
        <v>4</v>
      </c>
      <c r="N245" s="237" t="s">
        <v>1539</v>
      </c>
      <c r="P245" s="238">
        <f t="shared" si="31"/>
        <v>0</v>
      </c>
      <c r="Q245" s="238">
        <v>1.9499999999999999E-3</v>
      </c>
      <c r="R245" s="238">
        <f t="shared" si="32"/>
        <v>5.8499999999999996E-2</v>
      </c>
      <c r="S245" s="238">
        <v>0</v>
      </c>
      <c r="T245" s="239">
        <f t="shared" si="33"/>
        <v>0</v>
      </c>
      <c r="AR245" s="240" t="s">
        <v>615</v>
      </c>
      <c r="AT245" s="240" t="s">
        <v>1593</v>
      </c>
      <c r="AU245" s="240" t="s">
        <v>221</v>
      </c>
      <c r="AY245" s="146" t="s">
        <v>1590</v>
      </c>
      <c r="BE245" s="241">
        <f t="shared" si="34"/>
        <v>0</v>
      </c>
      <c r="BF245" s="241">
        <f t="shared" si="35"/>
        <v>0</v>
      </c>
      <c r="BG245" s="241">
        <f t="shared" si="36"/>
        <v>0</v>
      </c>
      <c r="BH245" s="241">
        <f t="shared" si="37"/>
        <v>0</v>
      </c>
      <c r="BI245" s="241">
        <f t="shared" si="38"/>
        <v>0</v>
      </c>
      <c r="BJ245" s="146" t="s">
        <v>213</v>
      </c>
      <c r="BK245" s="241">
        <f t="shared" si="39"/>
        <v>0</v>
      </c>
      <c r="BL245" s="146" t="s">
        <v>615</v>
      </c>
      <c r="BM245" s="240" t="s">
        <v>1909</v>
      </c>
    </row>
    <row r="246" spans="2:65" s="152" customFormat="1" ht="37.9" customHeight="1" x14ac:dyDescent="0.25">
      <c r="B246" s="226"/>
      <c r="C246" s="242" t="s">
        <v>545</v>
      </c>
      <c r="D246" s="242" t="s">
        <v>1598</v>
      </c>
      <c r="E246" s="243" t="s">
        <v>1910</v>
      </c>
      <c r="F246" s="244" t="s">
        <v>1911</v>
      </c>
      <c r="G246" s="245" t="s">
        <v>313</v>
      </c>
      <c r="H246" s="246">
        <v>55</v>
      </c>
      <c r="I246" s="247"/>
      <c r="J246" s="248">
        <f t="shared" si="30"/>
        <v>0</v>
      </c>
      <c r="K246" s="249"/>
      <c r="L246" s="153"/>
      <c r="M246" s="250" t="s">
        <v>4</v>
      </c>
      <c r="N246" s="251" t="s">
        <v>1539</v>
      </c>
      <c r="P246" s="238">
        <f t="shared" si="31"/>
        <v>0</v>
      </c>
      <c r="Q246" s="238">
        <v>0</v>
      </c>
      <c r="R246" s="238">
        <f t="shared" si="32"/>
        <v>0</v>
      </c>
      <c r="S246" s="238">
        <v>0</v>
      </c>
      <c r="T246" s="239">
        <f t="shared" si="33"/>
        <v>0</v>
      </c>
      <c r="AR246" s="240" t="s">
        <v>123</v>
      </c>
      <c r="AT246" s="240" t="s">
        <v>1598</v>
      </c>
      <c r="AU246" s="240" t="s">
        <v>221</v>
      </c>
      <c r="AY246" s="146" t="s">
        <v>1590</v>
      </c>
      <c r="BE246" s="241">
        <f t="shared" si="34"/>
        <v>0</v>
      </c>
      <c r="BF246" s="241">
        <f t="shared" si="35"/>
        <v>0</v>
      </c>
      <c r="BG246" s="241">
        <f t="shared" si="36"/>
        <v>0</v>
      </c>
      <c r="BH246" s="241">
        <f t="shared" si="37"/>
        <v>0</v>
      </c>
      <c r="BI246" s="241">
        <f t="shared" si="38"/>
        <v>0</v>
      </c>
      <c r="BJ246" s="146" t="s">
        <v>213</v>
      </c>
      <c r="BK246" s="241">
        <f t="shared" si="39"/>
        <v>0</v>
      </c>
      <c r="BL246" s="146" t="s">
        <v>123</v>
      </c>
      <c r="BM246" s="240" t="s">
        <v>1912</v>
      </c>
    </row>
    <row r="247" spans="2:65" s="152" customFormat="1" ht="16.5" customHeight="1" x14ac:dyDescent="0.25">
      <c r="B247" s="226"/>
      <c r="C247" s="227" t="s">
        <v>548</v>
      </c>
      <c r="D247" s="227" t="s">
        <v>1593</v>
      </c>
      <c r="E247" s="228" t="s">
        <v>1913</v>
      </c>
      <c r="F247" s="229" t="s">
        <v>1914</v>
      </c>
      <c r="G247" s="230" t="s">
        <v>313</v>
      </c>
      <c r="H247" s="231">
        <v>55</v>
      </c>
      <c r="I247" s="232"/>
      <c r="J247" s="233">
        <f t="shared" si="30"/>
        <v>0</v>
      </c>
      <c r="K247" s="234"/>
      <c r="L247" s="235"/>
      <c r="M247" s="236" t="s">
        <v>4</v>
      </c>
      <c r="N247" s="237" t="s">
        <v>1539</v>
      </c>
      <c r="P247" s="238">
        <f t="shared" si="31"/>
        <v>0</v>
      </c>
      <c r="Q247" s="238">
        <v>1.35E-4</v>
      </c>
      <c r="R247" s="238">
        <f t="shared" si="32"/>
        <v>7.4250000000000002E-3</v>
      </c>
      <c r="S247" s="238">
        <v>0</v>
      </c>
      <c r="T247" s="239">
        <f t="shared" si="33"/>
        <v>0</v>
      </c>
      <c r="AR247" s="240" t="s">
        <v>615</v>
      </c>
      <c r="AT247" s="240" t="s">
        <v>1593</v>
      </c>
      <c r="AU247" s="240" t="s">
        <v>221</v>
      </c>
      <c r="AY247" s="146" t="s">
        <v>1590</v>
      </c>
      <c r="BE247" s="241">
        <f t="shared" si="34"/>
        <v>0</v>
      </c>
      <c r="BF247" s="241">
        <f t="shared" si="35"/>
        <v>0</v>
      </c>
      <c r="BG247" s="241">
        <f t="shared" si="36"/>
        <v>0</v>
      </c>
      <c r="BH247" s="241">
        <f t="shared" si="37"/>
        <v>0</v>
      </c>
      <c r="BI247" s="241">
        <f t="shared" si="38"/>
        <v>0</v>
      </c>
      <c r="BJ247" s="146" t="s">
        <v>213</v>
      </c>
      <c r="BK247" s="241">
        <f t="shared" si="39"/>
        <v>0</v>
      </c>
      <c r="BL247" s="146" t="s">
        <v>615</v>
      </c>
      <c r="BM247" s="240" t="s">
        <v>1915</v>
      </c>
    </row>
    <row r="248" spans="2:65" s="152" customFormat="1" ht="33" customHeight="1" x14ac:dyDescent="0.25">
      <c r="B248" s="226"/>
      <c r="C248" s="242" t="s">
        <v>551</v>
      </c>
      <c r="D248" s="242" t="s">
        <v>1598</v>
      </c>
      <c r="E248" s="243" t="s">
        <v>1916</v>
      </c>
      <c r="F248" s="244" t="s">
        <v>1917</v>
      </c>
      <c r="G248" s="245" t="s">
        <v>313</v>
      </c>
      <c r="H248" s="246">
        <v>40</v>
      </c>
      <c r="I248" s="247"/>
      <c r="J248" s="248">
        <f t="shared" si="30"/>
        <v>0</v>
      </c>
      <c r="K248" s="249"/>
      <c r="L248" s="153"/>
      <c r="M248" s="250" t="s">
        <v>4</v>
      </c>
      <c r="N248" s="251" t="s">
        <v>1539</v>
      </c>
      <c r="P248" s="238">
        <f t="shared" si="31"/>
        <v>0</v>
      </c>
      <c r="Q248" s="238">
        <v>0</v>
      </c>
      <c r="R248" s="238">
        <f t="shared" si="32"/>
        <v>0</v>
      </c>
      <c r="S248" s="238">
        <v>0</v>
      </c>
      <c r="T248" s="239">
        <f t="shared" si="33"/>
        <v>0</v>
      </c>
      <c r="AR248" s="240" t="s">
        <v>123</v>
      </c>
      <c r="AT248" s="240" t="s">
        <v>1598</v>
      </c>
      <c r="AU248" s="240" t="s">
        <v>221</v>
      </c>
      <c r="AY248" s="146" t="s">
        <v>1590</v>
      </c>
      <c r="BE248" s="241">
        <f t="shared" si="34"/>
        <v>0</v>
      </c>
      <c r="BF248" s="241">
        <f t="shared" si="35"/>
        <v>0</v>
      </c>
      <c r="BG248" s="241">
        <f t="shared" si="36"/>
        <v>0</v>
      </c>
      <c r="BH248" s="241">
        <f t="shared" si="37"/>
        <v>0</v>
      </c>
      <c r="BI248" s="241">
        <f t="shared" si="38"/>
        <v>0</v>
      </c>
      <c r="BJ248" s="146" t="s">
        <v>213</v>
      </c>
      <c r="BK248" s="241">
        <f t="shared" si="39"/>
        <v>0</v>
      </c>
      <c r="BL248" s="146" t="s">
        <v>123</v>
      </c>
      <c r="BM248" s="240" t="s">
        <v>1918</v>
      </c>
    </row>
    <row r="249" spans="2:65" s="152" customFormat="1" ht="16.5" customHeight="1" x14ac:dyDescent="0.25">
      <c r="B249" s="226"/>
      <c r="C249" s="227" t="s">
        <v>554</v>
      </c>
      <c r="D249" s="227" t="s">
        <v>1593</v>
      </c>
      <c r="E249" s="228" t="s">
        <v>1919</v>
      </c>
      <c r="F249" s="229" t="s">
        <v>1920</v>
      </c>
      <c r="G249" s="230" t="s">
        <v>313</v>
      </c>
      <c r="H249" s="231">
        <v>40</v>
      </c>
      <c r="I249" s="232"/>
      <c r="J249" s="233">
        <f t="shared" si="30"/>
        <v>0</v>
      </c>
      <c r="K249" s="234"/>
      <c r="L249" s="235"/>
      <c r="M249" s="236" t="s">
        <v>4</v>
      </c>
      <c r="N249" s="237" t="s">
        <v>1539</v>
      </c>
      <c r="P249" s="238">
        <f t="shared" si="31"/>
        <v>0</v>
      </c>
      <c r="Q249" s="238">
        <v>1.4999999999999999E-4</v>
      </c>
      <c r="R249" s="238">
        <f t="shared" si="32"/>
        <v>5.9999999999999993E-3</v>
      </c>
      <c r="S249" s="238">
        <v>0</v>
      </c>
      <c r="T249" s="239">
        <f t="shared" si="33"/>
        <v>0</v>
      </c>
      <c r="AR249" s="240" t="s">
        <v>615</v>
      </c>
      <c r="AT249" s="240" t="s">
        <v>1593</v>
      </c>
      <c r="AU249" s="240" t="s">
        <v>221</v>
      </c>
      <c r="AY249" s="146" t="s">
        <v>1590</v>
      </c>
      <c r="BE249" s="241">
        <f t="shared" si="34"/>
        <v>0</v>
      </c>
      <c r="BF249" s="241">
        <f t="shared" si="35"/>
        <v>0</v>
      </c>
      <c r="BG249" s="241">
        <f t="shared" si="36"/>
        <v>0</v>
      </c>
      <c r="BH249" s="241">
        <f t="shared" si="37"/>
        <v>0</v>
      </c>
      <c r="BI249" s="241">
        <f t="shared" si="38"/>
        <v>0</v>
      </c>
      <c r="BJ249" s="146" t="s">
        <v>213</v>
      </c>
      <c r="BK249" s="241">
        <f t="shared" si="39"/>
        <v>0</v>
      </c>
      <c r="BL249" s="146" t="s">
        <v>615</v>
      </c>
      <c r="BM249" s="240" t="s">
        <v>1921</v>
      </c>
    </row>
    <row r="250" spans="2:65" s="152" customFormat="1" ht="33" customHeight="1" x14ac:dyDescent="0.25">
      <c r="B250" s="226"/>
      <c r="C250" s="242" t="s">
        <v>557</v>
      </c>
      <c r="D250" s="242" t="s">
        <v>1598</v>
      </c>
      <c r="E250" s="243" t="s">
        <v>1922</v>
      </c>
      <c r="F250" s="244" t="s">
        <v>1923</v>
      </c>
      <c r="G250" s="245" t="s">
        <v>313</v>
      </c>
      <c r="H250" s="246">
        <v>40</v>
      </c>
      <c r="I250" s="247"/>
      <c r="J250" s="248">
        <f t="shared" si="30"/>
        <v>0</v>
      </c>
      <c r="K250" s="249"/>
      <c r="L250" s="153"/>
      <c r="M250" s="250" t="s">
        <v>4</v>
      </c>
      <c r="N250" s="251" t="s">
        <v>1539</v>
      </c>
      <c r="P250" s="238">
        <f t="shared" si="31"/>
        <v>0</v>
      </c>
      <c r="Q250" s="238">
        <v>0</v>
      </c>
      <c r="R250" s="238">
        <f t="shared" si="32"/>
        <v>0</v>
      </c>
      <c r="S250" s="238">
        <v>0</v>
      </c>
      <c r="T250" s="239">
        <f t="shared" si="33"/>
        <v>0</v>
      </c>
      <c r="AR250" s="240" t="s">
        <v>123</v>
      </c>
      <c r="AT250" s="240" t="s">
        <v>1598</v>
      </c>
      <c r="AU250" s="240" t="s">
        <v>221</v>
      </c>
      <c r="AY250" s="146" t="s">
        <v>1590</v>
      </c>
      <c r="BE250" s="241">
        <f t="shared" si="34"/>
        <v>0</v>
      </c>
      <c r="BF250" s="241">
        <f t="shared" si="35"/>
        <v>0</v>
      </c>
      <c r="BG250" s="241">
        <f t="shared" si="36"/>
        <v>0</v>
      </c>
      <c r="BH250" s="241">
        <f t="shared" si="37"/>
        <v>0</v>
      </c>
      <c r="BI250" s="241">
        <f t="shared" si="38"/>
        <v>0</v>
      </c>
      <c r="BJ250" s="146" t="s">
        <v>213</v>
      </c>
      <c r="BK250" s="241">
        <f t="shared" si="39"/>
        <v>0</v>
      </c>
      <c r="BL250" s="146" t="s">
        <v>123</v>
      </c>
      <c r="BM250" s="240" t="s">
        <v>1924</v>
      </c>
    </row>
    <row r="251" spans="2:65" s="152" customFormat="1" ht="16.5" customHeight="1" x14ac:dyDescent="0.25">
      <c r="B251" s="226"/>
      <c r="C251" s="227" t="s">
        <v>560</v>
      </c>
      <c r="D251" s="227" t="s">
        <v>1593</v>
      </c>
      <c r="E251" s="228" t="s">
        <v>1925</v>
      </c>
      <c r="F251" s="229" t="s">
        <v>1926</v>
      </c>
      <c r="G251" s="230" t="s">
        <v>313</v>
      </c>
      <c r="H251" s="231">
        <v>40</v>
      </c>
      <c r="I251" s="232"/>
      <c r="J251" s="233">
        <f t="shared" si="30"/>
        <v>0</v>
      </c>
      <c r="K251" s="234"/>
      <c r="L251" s="235"/>
      <c r="M251" s="236" t="s">
        <v>4</v>
      </c>
      <c r="N251" s="237" t="s">
        <v>1539</v>
      </c>
      <c r="P251" s="238">
        <f t="shared" si="31"/>
        <v>0</v>
      </c>
      <c r="Q251" s="238">
        <v>9.0000000000000006E-5</v>
      </c>
      <c r="R251" s="238">
        <f t="shared" si="32"/>
        <v>3.6000000000000003E-3</v>
      </c>
      <c r="S251" s="238">
        <v>0</v>
      </c>
      <c r="T251" s="239">
        <f t="shared" si="33"/>
        <v>0</v>
      </c>
      <c r="AR251" s="240" t="s">
        <v>615</v>
      </c>
      <c r="AT251" s="240" t="s">
        <v>1593</v>
      </c>
      <c r="AU251" s="240" t="s">
        <v>221</v>
      </c>
      <c r="AY251" s="146" t="s">
        <v>1590</v>
      </c>
      <c r="BE251" s="241">
        <f t="shared" si="34"/>
        <v>0</v>
      </c>
      <c r="BF251" s="241">
        <f t="shared" si="35"/>
        <v>0</v>
      </c>
      <c r="BG251" s="241">
        <f t="shared" si="36"/>
        <v>0</v>
      </c>
      <c r="BH251" s="241">
        <f t="shared" si="37"/>
        <v>0</v>
      </c>
      <c r="BI251" s="241">
        <f t="shared" si="38"/>
        <v>0</v>
      </c>
      <c r="BJ251" s="146" t="s">
        <v>213</v>
      </c>
      <c r="BK251" s="241">
        <f t="shared" si="39"/>
        <v>0</v>
      </c>
      <c r="BL251" s="146" t="s">
        <v>615</v>
      </c>
      <c r="BM251" s="240" t="s">
        <v>1927</v>
      </c>
    </row>
    <row r="252" spans="2:65" s="152" customFormat="1" ht="33" customHeight="1" x14ac:dyDescent="0.25">
      <c r="B252" s="226"/>
      <c r="C252" s="242" t="s">
        <v>563</v>
      </c>
      <c r="D252" s="242" t="s">
        <v>1598</v>
      </c>
      <c r="E252" s="243" t="s">
        <v>1928</v>
      </c>
      <c r="F252" s="244" t="s">
        <v>1929</v>
      </c>
      <c r="G252" s="245" t="s">
        <v>313</v>
      </c>
      <c r="H252" s="246">
        <v>176</v>
      </c>
      <c r="I252" s="247"/>
      <c r="J252" s="248">
        <f t="shared" si="30"/>
        <v>0</v>
      </c>
      <c r="K252" s="249"/>
      <c r="L252" s="153"/>
      <c r="M252" s="250" t="s">
        <v>4</v>
      </c>
      <c r="N252" s="251" t="s">
        <v>1539</v>
      </c>
      <c r="P252" s="238">
        <f t="shared" si="31"/>
        <v>0</v>
      </c>
      <c r="Q252" s="238">
        <v>0</v>
      </c>
      <c r="R252" s="238">
        <f t="shared" si="32"/>
        <v>0</v>
      </c>
      <c r="S252" s="238">
        <v>0</v>
      </c>
      <c r="T252" s="239">
        <f t="shared" si="33"/>
        <v>0</v>
      </c>
      <c r="AR252" s="240" t="s">
        <v>123</v>
      </c>
      <c r="AT252" s="240" t="s">
        <v>1598</v>
      </c>
      <c r="AU252" s="240" t="s">
        <v>221</v>
      </c>
      <c r="AY252" s="146" t="s">
        <v>1590</v>
      </c>
      <c r="BE252" s="241">
        <f t="shared" si="34"/>
        <v>0</v>
      </c>
      <c r="BF252" s="241">
        <f t="shared" si="35"/>
        <v>0</v>
      </c>
      <c r="BG252" s="241">
        <f t="shared" si="36"/>
        <v>0</v>
      </c>
      <c r="BH252" s="241">
        <f t="shared" si="37"/>
        <v>0</v>
      </c>
      <c r="BI252" s="241">
        <f t="shared" si="38"/>
        <v>0</v>
      </c>
      <c r="BJ252" s="146" t="s">
        <v>213</v>
      </c>
      <c r="BK252" s="241">
        <f t="shared" si="39"/>
        <v>0</v>
      </c>
      <c r="BL252" s="146" t="s">
        <v>123</v>
      </c>
      <c r="BM252" s="240" t="s">
        <v>1930</v>
      </c>
    </row>
    <row r="253" spans="2:65" s="152" customFormat="1" ht="16.5" customHeight="1" x14ac:dyDescent="0.25">
      <c r="B253" s="226"/>
      <c r="C253" s="227" t="s">
        <v>566</v>
      </c>
      <c r="D253" s="227" t="s">
        <v>1593</v>
      </c>
      <c r="E253" s="228" t="s">
        <v>1931</v>
      </c>
      <c r="F253" s="229" t="s">
        <v>1932</v>
      </c>
      <c r="G253" s="230" t="s">
        <v>1593</v>
      </c>
      <c r="H253" s="231">
        <v>176</v>
      </c>
      <c r="I253" s="232"/>
      <c r="J253" s="233">
        <f t="shared" si="30"/>
        <v>0</v>
      </c>
      <c r="K253" s="234"/>
      <c r="L253" s="235"/>
      <c r="M253" s="236" t="s">
        <v>4</v>
      </c>
      <c r="N253" s="237" t="s">
        <v>1539</v>
      </c>
      <c r="P253" s="238">
        <f t="shared" si="31"/>
        <v>0</v>
      </c>
      <c r="Q253" s="238">
        <v>0</v>
      </c>
      <c r="R253" s="238">
        <f t="shared" si="32"/>
        <v>0</v>
      </c>
      <c r="S253" s="238">
        <v>0</v>
      </c>
      <c r="T253" s="239">
        <f t="shared" si="33"/>
        <v>0</v>
      </c>
      <c r="AR253" s="240" t="s">
        <v>1018</v>
      </c>
      <c r="AT253" s="240" t="s">
        <v>1593</v>
      </c>
      <c r="AU253" s="240" t="s">
        <v>221</v>
      </c>
      <c r="AY253" s="146" t="s">
        <v>1590</v>
      </c>
      <c r="BE253" s="241">
        <f t="shared" si="34"/>
        <v>0</v>
      </c>
      <c r="BF253" s="241">
        <f t="shared" si="35"/>
        <v>0</v>
      </c>
      <c r="BG253" s="241">
        <f t="shared" si="36"/>
        <v>0</v>
      </c>
      <c r="BH253" s="241">
        <f t="shared" si="37"/>
        <v>0</v>
      </c>
      <c r="BI253" s="241">
        <f t="shared" si="38"/>
        <v>0</v>
      </c>
      <c r="BJ253" s="146" t="s">
        <v>213</v>
      </c>
      <c r="BK253" s="241">
        <f t="shared" si="39"/>
        <v>0</v>
      </c>
      <c r="BL253" s="146" t="s">
        <v>123</v>
      </c>
      <c r="BM253" s="240" t="s">
        <v>1933</v>
      </c>
    </row>
    <row r="254" spans="2:65" s="152" customFormat="1" ht="33" customHeight="1" x14ac:dyDescent="0.25">
      <c r="B254" s="226"/>
      <c r="C254" s="242" t="s">
        <v>569</v>
      </c>
      <c r="D254" s="242" t="s">
        <v>1598</v>
      </c>
      <c r="E254" s="243" t="s">
        <v>1934</v>
      </c>
      <c r="F254" s="244" t="s">
        <v>1935</v>
      </c>
      <c r="G254" s="245" t="s">
        <v>313</v>
      </c>
      <c r="H254" s="246">
        <v>160</v>
      </c>
      <c r="I254" s="247"/>
      <c r="J254" s="248">
        <f t="shared" si="30"/>
        <v>0</v>
      </c>
      <c r="K254" s="249"/>
      <c r="L254" s="153"/>
      <c r="M254" s="250" t="s">
        <v>4</v>
      </c>
      <c r="N254" s="251" t="s">
        <v>1539</v>
      </c>
      <c r="P254" s="238">
        <f t="shared" si="31"/>
        <v>0</v>
      </c>
      <c r="Q254" s="238">
        <v>0</v>
      </c>
      <c r="R254" s="238">
        <f t="shared" si="32"/>
        <v>0</v>
      </c>
      <c r="S254" s="238">
        <v>0</v>
      </c>
      <c r="T254" s="239">
        <f t="shared" si="33"/>
        <v>0</v>
      </c>
      <c r="AR254" s="240" t="s">
        <v>123</v>
      </c>
      <c r="AT254" s="240" t="s">
        <v>1598</v>
      </c>
      <c r="AU254" s="240" t="s">
        <v>221</v>
      </c>
      <c r="AY254" s="146" t="s">
        <v>1590</v>
      </c>
      <c r="BE254" s="241">
        <f t="shared" si="34"/>
        <v>0</v>
      </c>
      <c r="BF254" s="241">
        <f t="shared" si="35"/>
        <v>0</v>
      </c>
      <c r="BG254" s="241">
        <f t="shared" si="36"/>
        <v>0</v>
      </c>
      <c r="BH254" s="241">
        <f t="shared" si="37"/>
        <v>0</v>
      </c>
      <c r="BI254" s="241">
        <f t="shared" si="38"/>
        <v>0</v>
      </c>
      <c r="BJ254" s="146" t="s">
        <v>213</v>
      </c>
      <c r="BK254" s="241">
        <f t="shared" si="39"/>
        <v>0</v>
      </c>
      <c r="BL254" s="146" t="s">
        <v>123</v>
      </c>
      <c r="BM254" s="240" t="s">
        <v>1936</v>
      </c>
    </row>
    <row r="255" spans="2:65" s="152" customFormat="1" ht="16.5" customHeight="1" x14ac:dyDescent="0.25">
      <c r="B255" s="226"/>
      <c r="C255" s="227" t="s">
        <v>572</v>
      </c>
      <c r="D255" s="227" t="s">
        <v>1593</v>
      </c>
      <c r="E255" s="228" t="s">
        <v>1937</v>
      </c>
      <c r="F255" s="229" t="s">
        <v>1938</v>
      </c>
      <c r="G255" s="230" t="s">
        <v>313</v>
      </c>
      <c r="H255" s="231">
        <v>160</v>
      </c>
      <c r="I255" s="232"/>
      <c r="J255" s="233">
        <f t="shared" si="30"/>
        <v>0</v>
      </c>
      <c r="K255" s="234"/>
      <c r="L255" s="235"/>
      <c r="M255" s="236" t="s">
        <v>4</v>
      </c>
      <c r="N255" s="237" t="s">
        <v>1539</v>
      </c>
      <c r="P255" s="238">
        <f t="shared" si="31"/>
        <v>0</v>
      </c>
      <c r="Q255" s="238">
        <v>1.6000000000000001E-4</v>
      </c>
      <c r="R255" s="238">
        <f t="shared" si="32"/>
        <v>2.5600000000000001E-2</v>
      </c>
      <c r="S255" s="238">
        <v>0</v>
      </c>
      <c r="T255" s="239">
        <f t="shared" si="33"/>
        <v>0</v>
      </c>
      <c r="AR255" s="240" t="s">
        <v>615</v>
      </c>
      <c r="AT255" s="240" t="s">
        <v>1593</v>
      </c>
      <c r="AU255" s="240" t="s">
        <v>221</v>
      </c>
      <c r="AY255" s="146" t="s">
        <v>1590</v>
      </c>
      <c r="BE255" s="241">
        <f t="shared" si="34"/>
        <v>0</v>
      </c>
      <c r="BF255" s="241">
        <f t="shared" si="35"/>
        <v>0</v>
      </c>
      <c r="BG255" s="241">
        <f t="shared" si="36"/>
        <v>0</v>
      </c>
      <c r="BH255" s="241">
        <f t="shared" si="37"/>
        <v>0</v>
      </c>
      <c r="BI255" s="241">
        <f t="shared" si="38"/>
        <v>0</v>
      </c>
      <c r="BJ255" s="146" t="s">
        <v>213</v>
      </c>
      <c r="BK255" s="241">
        <f t="shared" si="39"/>
        <v>0</v>
      </c>
      <c r="BL255" s="146" t="s">
        <v>615</v>
      </c>
      <c r="BM255" s="240" t="s">
        <v>1939</v>
      </c>
    </row>
    <row r="256" spans="2:65" s="152" customFormat="1" ht="33" customHeight="1" x14ac:dyDescent="0.25">
      <c r="B256" s="226"/>
      <c r="C256" s="242" t="s">
        <v>576</v>
      </c>
      <c r="D256" s="242" t="s">
        <v>1598</v>
      </c>
      <c r="E256" s="243" t="s">
        <v>1940</v>
      </c>
      <c r="F256" s="244" t="s">
        <v>1941</v>
      </c>
      <c r="G256" s="245" t="s">
        <v>313</v>
      </c>
      <c r="H256" s="246">
        <v>1935</v>
      </c>
      <c r="I256" s="247"/>
      <c r="J256" s="248">
        <f t="shared" si="30"/>
        <v>0</v>
      </c>
      <c r="K256" s="249"/>
      <c r="L256" s="153"/>
      <c r="M256" s="250" t="s">
        <v>4</v>
      </c>
      <c r="N256" s="251" t="s">
        <v>1539</v>
      </c>
      <c r="P256" s="238">
        <f t="shared" si="31"/>
        <v>0</v>
      </c>
      <c r="Q256" s="238">
        <v>0</v>
      </c>
      <c r="R256" s="238">
        <f t="shared" si="32"/>
        <v>0</v>
      </c>
      <c r="S256" s="238">
        <v>0</v>
      </c>
      <c r="T256" s="239">
        <f t="shared" si="33"/>
        <v>0</v>
      </c>
      <c r="AR256" s="240" t="s">
        <v>123</v>
      </c>
      <c r="AT256" s="240" t="s">
        <v>1598</v>
      </c>
      <c r="AU256" s="240" t="s">
        <v>221</v>
      </c>
      <c r="AY256" s="146" t="s">
        <v>1590</v>
      </c>
      <c r="BE256" s="241">
        <f t="shared" si="34"/>
        <v>0</v>
      </c>
      <c r="BF256" s="241">
        <f t="shared" si="35"/>
        <v>0</v>
      </c>
      <c r="BG256" s="241">
        <f t="shared" si="36"/>
        <v>0</v>
      </c>
      <c r="BH256" s="241">
        <f t="shared" si="37"/>
        <v>0</v>
      </c>
      <c r="BI256" s="241">
        <f t="shared" si="38"/>
        <v>0</v>
      </c>
      <c r="BJ256" s="146" t="s">
        <v>213</v>
      </c>
      <c r="BK256" s="241">
        <f t="shared" si="39"/>
        <v>0</v>
      </c>
      <c r="BL256" s="146" t="s">
        <v>123</v>
      </c>
      <c r="BM256" s="240" t="s">
        <v>1942</v>
      </c>
    </row>
    <row r="257" spans="2:65" s="152" customFormat="1" ht="16.5" customHeight="1" x14ac:dyDescent="0.25">
      <c r="B257" s="226"/>
      <c r="C257" s="227" t="s">
        <v>579</v>
      </c>
      <c r="D257" s="227" t="s">
        <v>1593</v>
      </c>
      <c r="E257" s="228" t="s">
        <v>1943</v>
      </c>
      <c r="F257" s="229" t="s">
        <v>1944</v>
      </c>
      <c r="G257" s="230" t="s">
        <v>313</v>
      </c>
      <c r="H257" s="231">
        <v>1935</v>
      </c>
      <c r="I257" s="232"/>
      <c r="J257" s="233">
        <f t="shared" si="30"/>
        <v>0</v>
      </c>
      <c r="K257" s="234"/>
      <c r="L257" s="235"/>
      <c r="M257" s="236" t="s">
        <v>4</v>
      </c>
      <c r="N257" s="237" t="s">
        <v>1539</v>
      </c>
      <c r="P257" s="238">
        <f t="shared" si="31"/>
        <v>0</v>
      </c>
      <c r="Q257" s="238">
        <v>1.17E-4</v>
      </c>
      <c r="R257" s="238">
        <f t="shared" si="32"/>
        <v>0.22639499999999999</v>
      </c>
      <c r="S257" s="238">
        <v>0</v>
      </c>
      <c r="T257" s="239">
        <f t="shared" si="33"/>
        <v>0</v>
      </c>
      <c r="AR257" s="240" t="s">
        <v>615</v>
      </c>
      <c r="AT257" s="240" t="s">
        <v>1593</v>
      </c>
      <c r="AU257" s="240" t="s">
        <v>221</v>
      </c>
      <c r="AY257" s="146" t="s">
        <v>1590</v>
      </c>
      <c r="BE257" s="241">
        <f t="shared" si="34"/>
        <v>0</v>
      </c>
      <c r="BF257" s="241">
        <f t="shared" si="35"/>
        <v>0</v>
      </c>
      <c r="BG257" s="241">
        <f t="shared" si="36"/>
        <v>0</v>
      </c>
      <c r="BH257" s="241">
        <f t="shared" si="37"/>
        <v>0</v>
      </c>
      <c r="BI257" s="241">
        <f t="shared" si="38"/>
        <v>0</v>
      </c>
      <c r="BJ257" s="146" t="s">
        <v>213</v>
      </c>
      <c r="BK257" s="241">
        <f t="shared" si="39"/>
        <v>0</v>
      </c>
      <c r="BL257" s="146" t="s">
        <v>615</v>
      </c>
      <c r="BM257" s="240" t="s">
        <v>1945</v>
      </c>
    </row>
    <row r="258" spans="2:65" s="152" customFormat="1" ht="33" customHeight="1" x14ac:dyDescent="0.25">
      <c r="B258" s="226"/>
      <c r="C258" s="242" t="s">
        <v>584</v>
      </c>
      <c r="D258" s="242" t="s">
        <v>1598</v>
      </c>
      <c r="E258" s="243" t="s">
        <v>1946</v>
      </c>
      <c r="F258" s="244" t="s">
        <v>1947</v>
      </c>
      <c r="G258" s="245" t="s">
        <v>313</v>
      </c>
      <c r="H258" s="246">
        <v>1870</v>
      </c>
      <c r="I258" s="247"/>
      <c r="J258" s="248">
        <f t="shared" si="30"/>
        <v>0</v>
      </c>
      <c r="K258" s="249"/>
      <c r="L258" s="153"/>
      <c r="M258" s="250" t="s">
        <v>4</v>
      </c>
      <c r="N258" s="251" t="s">
        <v>1539</v>
      </c>
      <c r="P258" s="238">
        <f t="shared" si="31"/>
        <v>0</v>
      </c>
      <c r="Q258" s="238">
        <v>0</v>
      </c>
      <c r="R258" s="238">
        <f t="shared" si="32"/>
        <v>0</v>
      </c>
      <c r="S258" s="238">
        <v>0</v>
      </c>
      <c r="T258" s="239">
        <f t="shared" si="33"/>
        <v>0</v>
      </c>
      <c r="AR258" s="240" t="s">
        <v>123</v>
      </c>
      <c r="AT258" s="240" t="s">
        <v>1598</v>
      </c>
      <c r="AU258" s="240" t="s">
        <v>221</v>
      </c>
      <c r="AY258" s="146" t="s">
        <v>1590</v>
      </c>
      <c r="BE258" s="241">
        <f t="shared" si="34"/>
        <v>0</v>
      </c>
      <c r="BF258" s="241">
        <f t="shared" si="35"/>
        <v>0</v>
      </c>
      <c r="BG258" s="241">
        <f t="shared" si="36"/>
        <v>0</v>
      </c>
      <c r="BH258" s="241">
        <f t="shared" si="37"/>
        <v>0</v>
      </c>
      <c r="BI258" s="241">
        <f t="shared" si="38"/>
        <v>0</v>
      </c>
      <c r="BJ258" s="146" t="s">
        <v>213</v>
      </c>
      <c r="BK258" s="241">
        <f t="shared" si="39"/>
        <v>0</v>
      </c>
      <c r="BL258" s="146" t="s">
        <v>123</v>
      </c>
      <c r="BM258" s="240" t="s">
        <v>1948</v>
      </c>
    </row>
    <row r="259" spans="2:65" s="152" customFormat="1" ht="16.5" customHeight="1" x14ac:dyDescent="0.25">
      <c r="B259" s="226"/>
      <c r="C259" s="227" t="s">
        <v>587</v>
      </c>
      <c r="D259" s="227" t="s">
        <v>1593</v>
      </c>
      <c r="E259" s="228" t="s">
        <v>1949</v>
      </c>
      <c r="F259" s="229" t="s">
        <v>1950</v>
      </c>
      <c r="G259" s="230" t="s">
        <v>313</v>
      </c>
      <c r="H259" s="231">
        <v>1870</v>
      </c>
      <c r="I259" s="232"/>
      <c r="J259" s="233">
        <f t="shared" si="30"/>
        <v>0</v>
      </c>
      <c r="K259" s="234"/>
      <c r="L259" s="235"/>
      <c r="M259" s="236" t="s">
        <v>4</v>
      </c>
      <c r="N259" s="237" t="s">
        <v>1539</v>
      </c>
      <c r="P259" s="238">
        <f t="shared" si="31"/>
        <v>0</v>
      </c>
      <c r="Q259" s="238">
        <v>1.6699999999999999E-4</v>
      </c>
      <c r="R259" s="238">
        <f t="shared" si="32"/>
        <v>0.31229000000000001</v>
      </c>
      <c r="S259" s="238">
        <v>0</v>
      </c>
      <c r="T259" s="239">
        <f t="shared" si="33"/>
        <v>0</v>
      </c>
      <c r="AR259" s="240" t="s">
        <v>615</v>
      </c>
      <c r="AT259" s="240" t="s">
        <v>1593</v>
      </c>
      <c r="AU259" s="240" t="s">
        <v>221</v>
      </c>
      <c r="AY259" s="146" t="s">
        <v>1590</v>
      </c>
      <c r="BE259" s="241">
        <f t="shared" si="34"/>
        <v>0</v>
      </c>
      <c r="BF259" s="241">
        <f t="shared" si="35"/>
        <v>0</v>
      </c>
      <c r="BG259" s="241">
        <f t="shared" si="36"/>
        <v>0</v>
      </c>
      <c r="BH259" s="241">
        <f t="shared" si="37"/>
        <v>0</v>
      </c>
      <c r="BI259" s="241">
        <f t="shared" si="38"/>
        <v>0</v>
      </c>
      <c r="BJ259" s="146" t="s">
        <v>213</v>
      </c>
      <c r="BK259" s="241">
        <f t="shared" si="39"/>
        <v>0</v>
      </c>
      <c r="BL259" s="146" t="s">
        <v>615</v>
      </c>
      <c r="BM259" s="240" t="s">
        <v>1951</v>
      </c>
    </row>
    <row r="260" spans="2:65" s="152" customFormat="1" ht="33" customHeight="1" x14ac:dyDescent="0.25">
      <c r="B260" s="226"/>
      <c r="C260" s="242" t="s">
        <v>590</v>
      </c>
      <c r="D260" s="242" t="s">
        <v>1598</v>
      </c>
      <c r="E260" s="243" t="s">
        <v>1952</v>
      </c>
      <c r="F260" s="244" t="s">
        <v>1953</v>
      </c>
      <c r="G260" s="245" t="s">
        <v>313</v>
      </c>
      <c r="H260" s="246">
        <v>140</v>
      </c>
      <c r="I260" s="247"/>
      <c r="J260" s="248">
        <f t="shared" si="30"/>
        <v>0</v>
      </c>
      <c r="K260" s="249"/>
      <c r="L260" s="153"/>
      <c r="M260" s="250" t="s">
        <v>4</v>
      </c>
      <c r="N260" s="251" t="s">
        <v>1539</v>
      </c>
      <c r="P260" s="238">
        <f t="shared" si="31"/>
        <v>0</v>
      </c>
      <c r="Q260" s="238">
        <v>0</v>
      </c>
      <c r="R260" s="238">
        <f t="shared" si="32"/>
        <v>0</v>
      </c>
      <c r="S260" s="238">
        <v>0</v>
      </c>
      <c r="T260" s="239">
        <f t="shared" si="33"/>
        <v>0</v>
      </c>
      <c r="AR260" s="240" t="s">
        <v>123</v>
      </c>
      <c r="AT260" s="240" t="s">
        <v>1598</v>
      </c>
      <c r="AU260" s="240" t="s">
        <v>221</v>
      </c>
      <c r="AY260" s="146" t="s">
        <v>1590</v>
      </c>
      <c r="BE260" s="241">
        <f t="shared" si="34"/>
        <v>0</v>
      </c>
      <c r="BF260" s="241">
        <f t="shared" si="35"/>
        <v>0</v>
      </c>
      <c r="BG260" s="241">
        <f t="shared" si="36"/>
        <v>0</v>
      </c>
      <c r="BH260" s="241">
        <f t="shared" si="37"/>
        <v>0</v>
      </c>
      <c r="BI260" s="241">
        <f t="shared" si="38"/>
        <v>0</v>
      </c>
      <c r="BJ260" s="146" t="s">
        <v>213</v>
      </c>
      <c r="BK260" s="241">
        <f t="shared" si="39"/>
        <v>0</v>
      </c>
      <c r="BL260" s="146" t="s">
        <v>123</v>
      </c>
      <c r="BM260" s="240" t="s">
        <v>1954</v>
      </c>
    </row>
    <row r="261" spans="2:65" s="152" customFormat="1" ht="16.5" customHeight="1" x14ac:dyDescent="0.25">
      <c r="B261" s="226"/>
      <c r="C261" s="227" t="s">
        <v>593</v>
      </c>
      <c r="D261" s="227" t="s">
        <v>1593</v>
      </c>
      <c r="E261" s="228" t="s">
        <v>1955</v>
      </c>
      <c r="F261" s="229" t="s">
        <v>1956</v>
      </c>
      <c r="G261" s="230" t="s">
        <v>313</v>
      </c>
      <c r="H261" s="231">
        <v>140</v>
      </c>
      <c r="I261" s="232"/>
      <c r="J261" s="233">
        <f t="shared" si="30"/>
        <v>0</v>
      </c>
      <c r="K261" s="234"/>
      <c r="L261" s="235"/>
      <c r="M261" s="236" t="s">
        <v>4</v>
      </c>
      <c r="N261" s="237" t="s">
        <v>1539</v>
      </c>
      <c r="P261" s="238">
        <f t="shared" si="31"/>
        <v>0</v>
      </c>
      <c r="Q261" s="238">
        <v>1.4200000000000001E-4</v>
      </c>
      <c r="R261" s="238">
        <f t="shared" si="32"/>
        <v>1.9880000000000002E-2</v>
      </c>
      <c r="S261" s="238">
        <v>0</v>
      </c>
      <c r="T261" s="239">
        <f t="shared" si="33"/>
        <v>0</v>
      </c>
      <c r="AR261" s="240" t="s">
        <v>615</v>
      </c>
      <c r="AT261" s="240" t="s">
        <v>1593</v>
      </c>
      <c r="AU261" s="240" t="s">
        <v>221</v>
      </c>
      <c r="AY261" s="146" t="s">
        <v>1590</v>
      </c>
      <c r="BE261" s="241">
        <f t="shared" si="34"/>
        <v>0</v>
      </c>
      <c r="BF261" s="241">
        <f t="shared" si="35"/>
        <v>0</v>
      </c>
      <c r="BG261" s="241">
        <f t="shared" si="36"/>
        <v>0</v>
      </c>
      <c r="BH261" s="241">
        <f t="shared" si="37"/>
        <v>0</v>
      </c>
      <c r="BI261" s="241">
        <f t="shared" si="38"/>
        <v>0</v>
      </c>
      <c r="BJ261" s="146" t="s">
        <v>213</v>
      </c>
      <c r="BK261" s="241">
        <f t="shared" si="39"/>
        <v>0</v>
      </c>
      <c r="BL261" s="146" t="s">
        <v>615</v>
      </c>
      <c r="BM261" s="240" t="s">
        <v>1957</v>
      </c>
    </row>
    <row r="262" spans="2:65" s="152" customFormat="1" ht="33" customHeight="1" x14ac:dyDescent="0.25">
      <c r="B262" s="226"/>
      <c r="C262" s="242" t="s">
        <v>596</v>
      </c>
      <c r="D262" s="242" t="s">
        <v>1598</v>
      </c>
      <c r="E262" s="243" t="s">
        <v>1958</v>
      </c>
      <c r="F262" s="244" t="s">
        <v>1959</v>
      </c>
      <c r="G262" s="245" t="s">
        <v>313</v>
      </c>
      <c r="H262" s="246">
        <v>90</v>
      </c>
      <c r="I262" s="247"/>
      <c r="J262" s="248">
        <f t="shared" si="30"/>
        <v>0</v>
      </c>
      <c r="K262" s="249"/>
      <c r="L262" s="153"/>
      <c r="M262" s="250" t="s">
        <v>4</v>
      </c>
      <c r="N262" s="251" t="s">
        <v>1539</v>
      </c>
      <c r="P262" s="238">
        <f t="shared" si="31"/>
        <v>0</v>
      </c>
      <c r="Q262" s="238">
        <v>0</v>
      </c>
      <c r="R262" s="238">
        <f t="shared" si="32"/>
        <v>0</v>
      </c>
      <c r="S262" s="238">
        <v>0</v>
      </c>
      <c r="T262" s="239">
        <f t="shared" si="33"/>
        <v>0</v>
      </c>
      <c r="AR262" s="240" t="s">
        <v>123</v>
      </c>
      <c r="AT262" s="240" t="s">
        <v>1598</v>
      </c>
      <c r="AU262" s="240" t="s">
        <v>221</v>
      </c>
      <c r="AY262" s="146" t="s">
        <v>1590</v>
      </c>
      <c r="BE262" s="241">
        <f t="shared" si="34"/>
        <v>0</v>
      </c>
      <c r="BF262" s="241">
        <f t="shared" si="35"/>
        <v>0</v>
      </c>
      <c r="BG262" s="241">
        <f t="shared" si="36"/>
        <v>0</v>
      </c>
      <c r="BH262" s="241">
        <f t="shared" si="37"/>
        <v>0</v>
      </c>
      <c r="BI262" s="241">
        <f t="shared" si="38"/>
        <v>0</v>
      </c>
      <c r="BJ262" s="146" t="s">
        <v>213</v>
      </c>
      <c r="BK262" s="241">
        <f t="shared" si="39"/>
        <v>0</v>
      </c>
      <c r="BL262" s="146" t="s">
        <v>123</v>
      </c>
      <c r="BM262" s="240" t="s">
        <v>1960</v>
      </c>
    </row>
    <row r="263" spans="2:65" s="152" customFormat="1" ht="16.5" customHeight="1" x14ac:dyDescent="0.25">
      <c r="B263" s="226"/>
      <c r="C263" s="227" t="s">
        <v>599</v>
      </c>
      <c r="D263" s="227" t="s">
        <v>1593</v>
      </c>
      <c r="E263" s="228" t="s">
        <v>1961</v>
      </c>
      <c r="F263" s="229" t="s">
        <v>1962</v>
      </c>
      <c r="G263" s="230" t="s">
        <v>313</v>
      </c>
      <c r="H263" s="231">
        <v>90</v>
      </c>
      <c r="I263" s="232"/>
      <c r="J263" s="233">
        <f t="shared" ref="J263:J269" si="40">ROUND(I263*H263,2)</f>
        <v>0</v>
      </c>
      <c r="K263" s="234"/>
      <c r="L263" s="235"/>
      <c r="M263" s="236" t="s">
        <v>4</v>
      </c>
      <c r="N263" s="237" t="s">
        <v>1539</v>
      </c>
      <c r="P263" s="238">
        <f t="shared" ref="P263:P269" si="41">O263*H263</f>
        <v>0</v>
      </c>
      <c r="Q263" s="238">
        <v>2.5300000000000002E-4</v>
      </c>
      <c r="R263" s="238">
        <f t="shared" ref="R263:R269" si="42">Q263*H263</f>
        <v>2.2770000000000002E-2</v>
      </c>
      <c r="S263" s="238">
        <v>0</v>
      </c>
      <c r="T263" s="239">
        <f t="shared" ref="T263:T269" si="43">S263*H263</f>
        <v>0</v>
      </c>
      <c r="AR263" s="240" t="s">
        <v>615</v>
      </c>
      <c r="AT263" s="240" t="s">
        <v>1593</v>
      </c>
      <c r="AU263" s="240" t="s">
        <v>221</v>
      </c>
      <c r="AY263" s="146" t="s">
        <v>1590</v>
      </c>
      <c r="BE263" s="241">
        <f t="shared" ref="BE263:BE269" si="44">IF(N263="základní",J263,0)</f>
        <v>0</v>
      </c>
      <c r="BF263" s="241">
        <f t="shared" ref="BF263:BF269" si="45">IF(N263="snížená",J263,0)</f>
        <v>0</v>
      </c>
      <c r="BG263" s="241">
        <f t="shared" ref="BG263:BG269" si="46">IF(N263="zákl. přenesená",J263,0)</f>
        <v>0</v>
      </c>
      <c r="BH263" s="241">
        <f t="shared" ref="BH263:BH269" si="47">IF(N263="sníž. přenesená",J263,0)</f>
        <v>0</v>
      </c>
      <c r="BI263" s="241">
        <f t="shared" ref="BI263:BI269" si="48">IF(N263="nulová",J263,0)</f>
        <v>0</v>
      </c>
      <c r="BJ263" s="146" t="s">
        <v>213</v>
      </c>
      <c r="BK263" s="241">
        <f t="shared" ref="BK263:BK269" si="49">ROUND(I263*H263,2)</f>
        <v>0</v>
      </c>
      <c r="BL263" s="146" t="s">
        <v>615</v>
      </c>
      <c r="BM263" s="240" t="s">
        <v>1963</v>
      </c>
    </row>
    <row r="264" spans="2:65" s="152" customFormat="1" ht="33" customHeight="1" x14ac:dyDescent="0.25">
      <c r="B264" s="226"/>
      <c r="C264" s="242" t="s">
        <v>602</v>
      </c>
      <c r="D264" s="242" t="s">
        <v>1598</v>
      </c>
      <c r="E264" s="243" t="s">
        <v>1964</v>
      </c>
      <c r="F264" s="244" t="s">
        <v>1965</v>
      </c>
      <c r="G264" s="245" t="s">
        <v>313</v>
      </c>
      <c r="H264" s="246">
        <v>50</v>
      </c>
      <c r="I264" s="247"/>
      <c r="J264" s="248">
        <f t="shared" si="40"/>
        <v>0</v>
      </c>
      <c r="K264" s="249"/>
      <c r="L264" s="153"/>
      <c r="M264" s="250" t="s">
        <v>4</v>
      </c>
      <c r="N264" s="251" t="s">
        <v>1539</v>
      </c>
      <c r="P264" s="238">
        <f t="shared" si="41"/>
        <v>0</v>
      </c>
      <c r="Q264" s="238">
        <v>0</v>
      </c>
      <c r="R264" s="238">
        <f t="shared" si="42"/>
        <v>0</v>
      </c>
      <c r="S264" s="238">
        <v>0</v>
      </c>
      <c r="T264" s="239">
        <f t="shared" si="43"/>
        <v>0</v>
      </c>
      <c r="AR264" s="240" t="s">
        <v>123</v>
      </c>
      <c r="AT264" s="240" t="s">
        <v>1598</v>
      </c>
      <c r="AU264" s="240" t="s">
        <v>221</v>
      </c>
      <c r="AY264" s="146" t="s">
        <v>1590</v>
      </c>
      <c r="BE264" s="241">
        <f t="shared" si="44"/>
        <v>0</v>
      </c>
      <c r="BF264" s="241">
        <f t="shared" si="45"/>
        <v>0</v>
      </c>
      <c r="BG264" s="241">
        <f t="shared" si="46"/>
        <v>0</v>
      </c>
      <c r="BH264" s="241">
        <f t="shared" si="47"/>
        <v>0</v>
      </c>
      <c r="BI264" s="241">
        <f t="shared" si="48"/>
        <v>0</v>
      </c>
      <c r="BJ264" s="146" t="s">
        <v>213</v>
      </c>
      <c r="BK264" s="241">
        <f t="shared" si="49"/>
        <v>0</v>
      </c>
      <c r="BL264" s="146" t="s">
        <v>123</v>
      </c>
      <c r="BM264" s="240" t="s">
        <v>1966</v>
      </c>
    </row>
    <row r="265" spans="2:65" s="152" customFormat="1" ht="16.5" customHeight="1" x14ac:dyDescent="0.25">
      <c r="B265" s="226"/>
      <c r="C265" s="227" t="s">
        <v>605</v>
      </c>
      <c r="D265" s="227" t="s">
        <v>1593</v>
      </c>
      <c r="E265" s="228" t="s">
        <v>1967</v>
      </c>
      <c r="F265" s="229" t="s">
        <v>1968</v>
      </c>
      <c r="G265" s="230" t="s">
        <v>313</v>
      </c>
      <c r="H265" s="231">
        <v>50</v>
      </c>
      <c r="I265" s="232"/>
      <c r="J265" s="233">
        <f t="shared" si="40"/>
        <v>0</v>
      </c>
      <c r="K265" s="234"/>
      <c r="L265" s="235"/>
      <c r="M265" s="236" t="s">
        <v>4</v>
      </c>
      <c r="N265" s="237" t="s">
        <v>1539</v>
      </c>
      <c r="P265" s="238">
        <f t="shared" si="41"/>
        <v>0</v>
      </c>
      <c r="Q265" s="238">
        <v>3.4499999999999998E-4</v>
      </c>
      <c r="R265" s="238">
        <f t="shared" si="42"/>
        <v>1.7249999999999998E-2</v>
      </c>
      <c r="S265" s="238">
        <v>0</v>
      </c>
      <c r="T265" s="239">
        <f t="shared" si="43"/>
        <v>0</v>
      </c>
      <c r="AR265" s="240" t="s">
        <v>615</v>
      </c>
      <c r="AT265" s="240" t="s">
        <v>1593</v>
      </c>
      <c r="AU265" s="240" t="s">
        <v>221</v>
      </c>
      <c r="AY265" s="146" t="s">
        <v>1590</v>
      </c>
      <c r="BE265" s="241">
        <f t="shared" si="44"/>
        <v>0</v>
      </c>
      <c r="BF265" s="241">
        <f t="shared" si="45"/>
        <v>0</v>
      </c>
      <c r="BG265" s="241">
        <f t="shared" si="46"/>
        <v>0</v>
      </c>
      <c r="BH265" s="241">
        <f t="shared" si="47"/>
        <v>0</v>
      </c>
      <c r="BI265" s="241">
        <f t="shared" si="48"/>
        <v>0</v>
      </c>
      <c r="BJ265" s="146" t="s">
        <v>213</v>
      </c>
      <c r="BK265" s="241">
        <f t="shared" si="49"/>
        <v>0</v>
      </c>
      <c r="BL265" s="146" t="s">
        <v>615</v>
      </c>
      <c r="BM265" s="240" t="s">
        <v>1969</v>
      </c>
    </row>
    <row r="266" spans="2:65" s="152" customFormat="1" ht="16.5" customHeight="1" x14ac:dyDescent="0.25">
      <c r="B266" s="226"/>
      <c r="C266" s="242" t="s">
        <v>608</v>
      </c>
      <c r="D266" s="242" t="s">
        <v>1598</v>
      </c>
      <c r="E266" s="243" t="s">
        <v>1970</v>
      </c>
      <c r="F266" s="244" t="s">
        <v>1971</v>
      </c>
      <c r="G266" s="245" t="s">
        <v>63</v>
      </c>
      <c r="H266" s="252"/>
      <c r="I266" s="247"/>
      <c r="J266" s="248">
        <f t="shared" si="40"/>
        <v>0</v>
      </c>
      <c r="K266" s="249"/>
      <c r="L266" s="153"/>
      <c r="M266" s="250" t="s">
        <v>4</v>
      </c>
      <c r="N266" s="251" t="s">
        <v>1539</v>
      </c>
      <c r="P266" s="238">
        <f t="shared" si="41"/>
        <v>0</v>
      </c>
      <c r="Q266" s="238">
        <v>0</v>
      </c>
      <c r="R266" s="238">
        <f t="shared" si="42"/>
        <v>0</v>
      </c>
      <c r="S266" s="238">
        <v>0</v>
      </c>
      <c r="T266" s="239">
        <f t="shared" si="43"/>
        <v>0</v>
      </c>
      <c r="AR266" s="240" t="s">
        <v>123</v>
      </c>
      <c r="AT266" s="240" t="s">
        <v>1598</v>
      </c>
      <c r="AU266" s="240" t="s">
        <v>221</v>
      </c>
      <c r="AY266" s="146" t="s">
        <v>1590</v>
      </c>
      <c r="BE266" s="241">
        <f t="shared" si="44"/>
        <v>0</v>
      </c>
      <c r="BF266" s="241">
        <f t="shared" si="45"/>
        <v>0</v>
      </c>
      <c r="BG266" s="241">
        <f t="shared" si="46"/>
        <v>0</v>
      </c>
      <c r="BH266" s="241">
        <f t="shared" si="47"/>
        <v>0</v>
      </c>
      <c r="BI266" s="241">
        <f t="shared" si="48"/>
        <v>0</v>
      </c>
      <c r="BJ266" s="146" t="s">
        <v>213</v>
      </c>
      <c r="BK266" s="241">
        <f t="shared" si="49"/>
        <v>0</v>
      </c>
      <c r="BL266" s="146" t="s">
        <v>123</v>
      </c>
      <c r="BM266" s="240" t="s">
        <v>1972</v>
      </c>
    </row>
    <row r="267" spans="2:65" s="152" customFormat="1" ht="16.5" customHeight="1" x14ac:dyDescent="0.25">
      <c r="B267" s="226"/>
      <c r="C267" s="242" t="s">
        <v>612</v>
      </c>
      <c r="D267" s="242" t="s">
        <v>1598</v>
      </c>
      <c r="E267" s="243" t="s">
        <v>1973</v>
      </c>
      <c r="F267" s="244" t="s">
        <v>1974</v>
      </c>
      <c r="G267" s="245" t="s">
        <v>63</v>
      </c>
      <c r="H267" s="252"/>
      <c r="I267" s="247"/>
      <c r="J267" s="248">
        <f t="shared" si="40"/>
        <v>0</v>
      </c>
      <c r="K267" s="249"/>
      <c r="L267" s="153"/>
      <c r="M267" s="250" t="s">
        <v>4</v>
      </c>
      <c r="N267" s="251" t="s">
        <v>1539</v>
      </c>
      <c r="P267" s="238">
        <f t="shared" si="41"/>
        <v>0</v>
      </c>
      <c r="Q267" s="238">
        <v>0</v>
      </c>
      <c r="R267" s="238">
        <f t="shared" si="42"/>
        <v>0</v>
      </c>
      <c r="S267" s="238">
        <v>0</v>
      </c>
      <c r="T267" s="239">
        <f t="shared" si="43"/>
        <v>0</v>
      </c>
      <c r="AR267" s="240" t="s">
        <v>615</v>
      </c>
      <c r="AT267" s="240" t="s">
        <v>1598</v>
      </c>
      <c r="AU267" s="240" t="s">
        <v>221</v>
      </c>
      <c r="AY267" s="146" t="s">
        <v>1590</v>
      </c>
      <c r="BE267" s="241">
        <f t="shared" si="44"/>
        <v>0</v>
      </c>
      <c r="BF267" s="241">
        <f t="shared" si="45"/>
        <v>0</v>
      </c>
      <c r="BG267" s="241">
        <f t="shared" si="46"/>
        <v>0</v>
      </c>
      <c r="BH267" s="241">
        <f t="shared" si="47"/>
        <v>0</v>
      </c>
      <c r="BI267" s="241">
        <f t="shared" si="48"/>
        <v>0</v>
      </c>
      <c r="BJ267" s="146" t="s">
        <v>213</v>
      </c>
      <c r="BK267" s="241">
        <f t="shared" si="49"/>
        <v>0</v>
      </c>
      <c r="BL267" s="146" t="s">
        <v>615</v>
      </c>
      <c r="BM267" s="240" t="s">
        <v>1975</v>
      </c>
    </row>
    <row r="268" spans="2:65" s="152" customFormat="1" ht="16.5" customHeight="1" x14ac:dyDescent="0.25">
      <c r="B268" s="226"/>
      <c r="C268" s="242" t="s">
        <v>615</v>
      </c>
      <c r="D268" s="242" t="s">
        <v>1598</v>
      </c>
      <c r="E268" s="243" t="s">
        <v>1976</v>
      </c>
      <c r="F268" s="244" t="s">
        <v>1977</v>
      </c>
      <c r="G268" s="245" t="s">
        <v>63</v>
      </c>
      <c r="H268" s="252"/>
      <c r="I268" s="247"/>
      <c r="J268" s="248">
        <f t="shared" si="40"/>
        <v>0</v>
      </c>
      <c r="K268" s="249"/>
      <c r="L268" s="153"/>
      <c r="M268" s="250" t="s">
        <v>4</v>
      </c>
      <c r="N268" s="251" t="s">
        <v>1539</v>
      </c>
      <c r="P268" s="238">
        <f t="shared" si="41"/>
        <v>0</v>
      </c>
      <c r="Q268" s="238">
        <v>0</v>
      </c>
      <c r="R268" s="238">
        <f t="shared" si="42"/>
        <v>0</v>
      </c>
      <c r="S268" s="238">
        <v>0</v>
      </c>
      <c r="T268" s="239">
        <f t="shared" si="43"/>
        <v>0</v>
      </c>
      <c r="AR268" s="240" t="s">
        <v>123</v>
      </c>
      <c r="AT268" s="240" t="s">
        <v>1598</v>
      </c>
      <c r="AU268" s="240" t="s">
        <v>221</v>
      </c>
      <c r="AY268" s="146" t="s">
        <v>1590</v>
      </c>
      <c r="BE268" s="241">
        <f t="shared" si="44"/>
        <v>0</v>
      </c>
      <c r="BF268" s="241">
        <f t="shared" si="45"/>
        <v>0</v>
      </c>
      <c r="BG268" s="241">
        <f t="shared" si="46"/>
        <v>0</v>
      </c>
      <c r="BH268" s="241">
        <f t="shared" si="47"/>
        <v>0</v>
      </c>
      <c r="BI268" s="241">
        <f t="shared" si="48"/>
        <v>0</v>
      </c>
      <c r="BJ268" s="146" t="s">
        <v>213</v>
      </c>
      <c r="BK268" s="241">
        <f t="shared" si="49"/>
        <v>0</v>
      </c>
      <c r="BL268" s="146" t="s">
        <v>123</v>
      </c>
      <c r="BM268" s="240" t="s">
        <v>1978</v>
      </c>
    </row>
    <row r="269" spans="2:65" s="152" customFormat="1" ht="16.5" customHeight="1" x14ac:dyDescent="0.25">
      <c r="B269" s="226"/>
      <c r="C269" s="242" t="s">
        <v>618</v>
      </c>
      <c r="D269" s="242" t="s">
        <v>1598</v>
      </c>
      <c r="E269" s="243" t="s">
        <v>1979</v>
      </c>
      <c r="F269" s="244" t="s">
        <v>1980</v>
      </c>
      <c r="G269" s="245" t="s">
        <v>63</v>
      </c>
      <c r="H269" s="252"/>
      <c r="I269" s="247"/>
      <c r="J269" s="248">
        <f t="shared" si="40"/>
        <v>0</v>
      </c>
      <c r="K269" s="249"/>
      <c r="L269" s="153"/>
      <c r="M269" s="250" t="s">
        <v>4</v>
      </c>
      <c r="N269" s="251" t="s">
        <v>1539</v>
      </c>
      <c r="P269" s="238">
        <f t="shared" si="41"/>
        <v>0</v>
      </c>
      <c r="Q269" s="238">
        <v>0</v>
      </c>
      <c r="R269" s="238">
        <f t="shared" si="42"/>
        <v>0</v>
      </c>
      <c r="S269" s="238">
        <v>0</v>
      </c>
      <c r="T269" s="239">
        <f t="shared" si="43"/>
        <v>0</v>
      </c>
      <c r="AR269" s="240" t="s">
        <v>123</v>
      </c>
      <c r="AT269" s="240" t="s">
        <v>1598</v>
      </c>
      <c r="AU269" s="240" t="s">
        <v>221</v>
      </c>
      <c r="AY269" s="146" t="s">
        <v>1590</v>
      </c>
      <c r="BE269" s="241">
        <f t="shared" si="44"/>
        <v>0</v>
      </c>
      <c r="BF269" s="241">
        <f t="shared" si="45"/>
        <v>0</v>
      </c>
      <c r="BG269" s="241">
        <f t="shared" si="46"/>
        <v>0</v>
      </c>
      <c r="BH269" s="241">
        <f t="shared" si="47"/>
        <v>0</v>
      </c>
      <c r="BI269" s="241">
        <f t="shared" si="48"/>
        <v>0</v>
      </c>
      <c r="BJ269" s="146" t="s">
        <v>213</v>
      </c>
      <c r="BK269" s="241">
        <f t="shared" si="49"/>
        <v>0</v>
      </c>
      <c r="BL269" s="146" t="s">
        <v>123</v>
      </c>
      <c r="BM269" s="240" t="s">
        <v>1981</v>
      </c>
    </row>
    <row r="270" spans="2:65" s="213" customFormat="1" ht="25.9" customHeight="1" x14ac:dyDescent="0.2">
      <c r="B270" s="214"/>
      <c r="D270" s="215" t="s">
        <v>1587</v>
      </c>
      <c r="E270" s="216" t="s">
        <v>1982</v>
      </c>
      <c r="F270" s="216" t="s">
        <v>1983</v>
      </c>
      <c r="I270" s="217"/>
      <c r="J270" s="218">
        <f>BK270</f>
        <v>0</v>
      </c>
      <c r="L270" s="214"/>
      <c r="M270" s="219"/>
      <c r="P270" s="220">
        <f>P271+SUM(P272:P274)+P293+P297</f>
        <v>0</v>
      </c>
      <c r="R270" s="220">
        <f>R271+SUM(R272:R274)+R293+R297</f>
        <v>9.7119999999999997E-4</v>
      </c>
      <c r="T270" s="221">
        <f>T271+SUM(T272:T274)+T293+T297</f>
        <v>0</v>
      </c>
      <c r="AR270" s="215" t="s">
        <v>227</v>
      </c>
      <c r="AT270" s="222" t="s">
        <v>1587</v>
      </c>
      <c r="AU270" s="222" t="s">
        <v>1589</v>
      </c>
      <c r="AY270" s="215" t="s">
        <v>1590</v>
      </c>
      <c r="BK270" s="223">
        <f>BK271+SUM(BK272:BK274)+BK293+BK297</f>
        <v>0</v>
      </c>
    </row>
    <row r="271" spans="2:65" s="152" customFormat="1" ht="16.5" customHeight="1" x14ac:dyDescent="0.25">
      <c r="B271" s="226"/>
      <c r="C271" s="242" t="s">
        <v>621</v>
      </c>
      <c r="D271" s="242" t="s">
        <v>1598</v>
      </c>
      <c r="E271" s="243" t="s">
        <v>1984</v>
      </c>
      <c r="F271" s="244" t="s">
        <v>1985</v>
      </c>
      <c r="G271" s="245" t="s">
        <v>644</v>
      </c>
      <c r="H271" s="246">
        <v>1</v>
      </c>
      <c r="I271" s="247"/>
      <c r="J271" s="248">
        <f>ROUND(I271*H271,2)</f>
        <v>0</v>
      </c>
      <c r="K271" s="249"/>
      <c r="L271" s="153"/>
      <c r="M271" s="250" t="s">
        <v>4</v>
      </c>
      <c r="N271" s="251" t="s">
        <v>1539</v>
      </c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AR271" s="240" t="s">
        <v>1986</v>
      </c>
      <c r="AT271" s="240" t="s">
        <v>1598</v>
      </c>
      <c r="AU271" s="240" t="s">
        <v>213</v>
      </c>
      <c r="AY271" s="146" t="s">
        <v>1590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46" t="s">
        <v>213</v>
      </c>
      <c r="BK271" s="241">
        <f>ROUND(I271*H271,2)</f>
        <v>0</v>
      </c>
      <c r="BL271" s="146" t="s">
        <v>1986</v>
      </c>
      <c r="BM271" s="240" t="s">
        <v>1987</v>
      </c>
    </row>
    <row r="272" spans="2:65" s="152" customFormat="1" ht="24.2" customHeight="1" x14ac:dyDescent="0.25">
      <c r="B272" s="226"/>
      <c r="C272" s="242" t="s">
        <v>625</v>
      </c>
      <c r="D272" s="242" t="s">
        <v>1598</v>
      </c>
      <c r="E272" s="243" t="s">
        <v>1988</v>
      </c>
      <c r="F272" s="244" t="s">
        <v>1989</v>
      </c>
      <c r="G272" s="245" t="s">
        <v>1470</v>
      </c>
      <c r="H272" s="246">
        <v>24</v>
      </c>
      <c r="I272" s="247"/>
      <c r="J272" s="248">
        <f>ROUND(I272*H272,2)</f>
        <v>0</v>
      </c>
      <c r="K272" s="249"/>
      <c r="L272" s="153"/>
      <c r="M272" s="250" t="s">
        <v>4</v>
      </c>
      <c r="N272" s="251" t="s">
        <v>1539</v>
      </c>
      <c r="P272" s="238">
        <f>O272*H272</f>
        <v>0</v>
      </c>
      <c r="Q272" s="238">
        <v>0</v>
      </c>
      <c r="R272" s="238">
        <f>Q272*H272</f>
        <v>0</v>
      </c>
      <c r="S272" s="238">
        <v>0</v>
      </c>
      <c r="T272" s="239">
        <f>S272*H272</f>
        <v>0</v>
      </c>
      <c r="AR272" s="240" t="s">
        <v>1986</v>
      </c>
      <c r="AT272" s="240" t="s">
        <v>1598</v>
      </c>
      <c r="AU272" s="240" t="s">
        <v>213</v>
      </c>
      <c r="AY272" s="146" t="s">
        <v>1590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46" t="s">
        <v>213</v>
      </c>
      <c r="BK272" s="241">
        <f>ROUND(I272*H272,2)</f>
        <v>0</v>
      </c>
      <c r="BL272" s="146" t="s">
        <v>1986</v>
      </c>
      <c r="BM272" s="240" t="s">
        <v>1990</v>
      </c>
    </row>
    <row r="273" spans="2:65" s="152" customFormat="1" ht="24.2" customHeight="1" x14ac:dyDescent="0.25">
      <c r="B273" s="226"/>
      <c r="C273" s="242" t="s">
        <v>628</v>
      </c>
      <c r="D273" s="242" t="s">
        <v>1598</v>
      </c>
      <c r="E273" s="243" t="s">
        <v>1991</v>
      </c>
      <c r="F273" s="244" t="s">
        <v>1992</v>
      </c>
      <c r="G273" s="245" t="s">
        <v>1470</v>
      </c>
      <c r="H273" s="246">
        <v>8</v>
      </c>
      <c r="I273" s="247"/>
      <c r="J273" s="248">
        <f>ROUND(I273*H273,2)</f>
        <v>0</v>
      </c>
      <c r="K273" s="249"/>
      <c r="L273" s="153"/>
      <c r="M273" s="250" t="s">
        <v>4</v>
      </c>
      <c r="N273" s="251" t="s">
        <v>1539</v>
      </c>
      <c r="P273" s="238">
        <f>O273*H273</f>
        <v>0</v>
      </c>
      <c r="Q273" s="238">
        <v>0</v>
      </c>
      <c r="R273" s="238">
        <f>Q273*H273</f>
        <v>0</v>
      </c>
      <c r="S273" s="238">
        <v>0</v>
      </c>
      <c r="T273" s="239">
        <f>S273*H273</f>
        <v>0</v>
      </c>
      <c r="AR273" s="240" t="s">
        <v>1986</v>
      </c>
      <c r="AT273" s="240" t="s">
        <v>1598</v>
      </c>
      <c r="AU273" s="240" t="s">
        <v>213</v>
      </c>
      <c r="AY273" s="146" t="s">
        <v>1590</v>
      </c>
      <c r="BE273" s="241">
        <f>IF(N273="základní",J273,0)</f>
        <v>0</v>
      </c>
      <c r="BF273" s="241">
        <f>IF(N273="snížená",J273,0)</f>
        <v>0</v>
      </c>
      <c r="BG273" s="241">
        <f>IF(N273="zákl. přenesená",J273,0)</f>
        <v>0</v>
      </c>
      <c r="BH273" s="241">
        <f>IF(N273="sníž. přenesená",J273,0)</f>
        <v>0</v>
      </c>
      <c r="BI273" s="241">
        <f>IF(N273="nulová",J273,0)</f>
        <v>0</v>
      </c>
      <c r="BJ273" s="146" t="s">
        <v>213</v>
      </c>
      <c r="BK273" s="241">
        <f>ROUND(I273*H273,2)</f>
        <v>0</v>
      </c>
      <c r="BL273" s="146" t="s">
        <v>1986</v>
      </c>
      <c r="BM273" s="240" t="s">
        <v>1993</v>
      </c>
    </row>
    <row r="274" spans="2:65" s="213" customFormat="1" ht="22.9" customHeight="1" x14ac:dyDescent="0.2">
      <c r="B274" s="214"/>
      <c r="D274" s="215" t="s">
        <v>1587</v>
      </c>
      <c r="E274" s="224" t="s">
        <v>1994</v>
      </c>
      <c r="F274" s="224" t="s">
        <v>1995</v>
      </c>
      <c r="I274" s="217"/>
      <c r="J274" s="225">
        <f>BK274</f>
        <v>0</v>
      </c>
      <c r="L274" s="214"/>
      <c r="M274" s="219"/>
      <c r="P274" s="220">
        <f>SUM(P275:P292)</f>
        <v>0</v>
      </c>
      <c r="R274" s="220">
        <f>SUM(R275:R292)</f>
        <v>4.8000000000000001E-4</v>
      </c>
      <c r="T274" s="221">
        <f>SUM(T275:T292)</f>
        <v>0</v>
      </c>
      <c r="AR274" s="215" t="s">
        <v>224</v>
      </c>
      <c r="AT274" s="222" t="s">
        <v>1587</v>
      </c>
      <c r="AU274" s="222" t="s">
        <v>213</v>
      </c>
      <c r="AY274" s="215" t="s">
        <v>1590</v>
      </c>
      <c r="BK274" s="223">
        <f>SUM(BK275:BK292)</f>
        <v>0</v>
      </c>
    </row>
    <row r="275" spans="2:65" s="152" customFormat="1" ht="16.5" customHeight="1" x14ac:dyDescent="0.25">
      <c r="B275" s="226"/>
      <c r="C275" s="242" t="s">
        <v>631</v>
      </c>
      <c r="D275" s="242" t="s">
        <v>1598</v>
      </c>
      <c r="E275" s="243" t="s">
        <v>1996</v>
      </c>
      <c r="F275" s="244" t="s">
        <v>1997</v>
      </c>
      <c r="G275" s="245" t="s">
        <v>313</v>
      </c>
      <c r="H275" s="246">
        <v>480</v>
      </c>
      <c r="I275" s="247"/>
      <c r="J275" s="248">
        <f t="shared" ref="J275:J292" si="50">ROUND(I275*H275,2)</f>
        <v>0</v>
      </c>
      <c r="K275" s="249"/>
      <c r="L275" s="153"/>
      <c r="M275" s="250" t="s">
        <v>4</v>
      </c>
      <c r="N275" s="251" t="s">
        <v>1539</v>
      </c>
      <c r="P275" s="238">
        <f t="shared" ref="P275:P292" si="51">O275*H275</f>
        <v>0</v>
      </c>
      <c r="Q275" s="238">
        <v>0</v>
      </c>
      <c r="R275" s="238">
        <f t="shared" ref="R275:R292" si="52">Q275*H275</f>
        <v>0</v>
      </c>
      <c r="S275" s="238">
        <v>0</v>
      </c>
      <c r="T275" s="239">
        <f t="shared" ref="T275:T292" si="53">S275*H275</f>
        <v>0</v>
      </c>
      <c r="AR275" s="240" t="s">
        <v>123</v>
      </c>
      <c r="AT275" s="240" t="s">
        <v>1598</v>
      </c>
      <c r="AU275" s="240" t="s">
        <v>221</v>
      </c>
      <c r="AY275" s="146" t="s">
        <v>1590</v>
      </c>
      <c r="BE275" s="241">
        <f t="shared" ref="BE275:BE292" si="54">IF(N275="základní",J275,0)</f>
        <v>0</v>
      </c>
      <c r="BF275" s="241">
        <f t="shared" ref="BF275:BF292" si="55">IF(N275="snížená",J275,0)</f>
        <v>0</v>
      </c>
      <c r="BG275" s="241">
        <f t="shared" ref="BG275:BG292" si="56">IF(N275="zákl. přenesená",J275,0)</f>
        <v>0</v>
      </c>
      <c r="BH275" s="241">
        <f t="shared" ref="BH275:BH292" si="57">IF(N275="sníž. přenesená",J275,0)</f>
        <v>0</v>
      </c>
      <c r="BI275" s="241">
        <f t="shared" ref="BI275:BI292" si="58">IF(N275="nulová",J275,0)</f>
        <v>0</v>
      </c>
      <c r="BJ275" s="146" t="s">
        <v>213</v>
      </c>
      <c r="BK275" s="241">
        <f t="shared" ref="BK275:BK292" si="59">ROUND(I275*H275,2)</f>
        <v>0</v>
      </c>
      <c r="BL275" s="146" t="s">
        <v>123</v>
      </c>
      <c r="BM275" s="240" t="s">
        <v>1998</v>
      </c>
    </row>
    <row r="276" spans="2:65" s="152" customFormat="1" ht="16.5" customHeight="1" x14ac:dyDescent="0.25">
      <c r="B276" s="226"/>
      <c r="C276" s="227" t="s">
        <v>634</v>
      </c>
      <c r="D276" s="227" t="s">
        <v>1593</v>
      </c>
      <c r="E276" s="228" t="s">
        <v>1999</v>
      </c>
      <c r="F276" s="229" t="s">
        <v>2000</v>
      </c>
      <c r="G276" s="230" t="s">
        <v>1593</v>
      </c>
      <c r="H276" s="231">
        <v>480</v>
      </c>
      <c r="I276" s="232"/>
      <c r="J276" s="233">
        <f t="shared" si="50"/>
        <v>0</v>
      </c>
      <c r="K276" s="234"/>
      <c r="L276" s="235"/>
      <c r="M276" s="236" t="s">
        <v>4</v>
      </c>
      <c r="N276" s="237" t="s">
        <v>1539</v>
      </c>
      <c r="P276" s="238">
        <f t="shared" si="51"/>
        <v>0</v>
      </c>
      <c r="Q276" s="238">
        <v>0</v>
      </c>
      <c r="R276" s="238">
        <f t="shared" si="52"/>
        <v>0</v>
      </c>
      <c r="S276" s="238">
        <v>0</v>
      </c>
      <c r="T276" s="239">
        <f t="shared" si="53"/>
        <v>0</v>
      </c>
      <c r="AR276" s="240" t="s">
        <v>1018</v>
      </c>
      <c r="AT276" s="240" t="s">
        <v>1593</v>
      </c>
      <c r="AU276" s="240" t="s">
        <v>221</v>
      </c>
      <c r="AY276" s="146" t="s">
        <v>1590</v>
      </c>
      <c r="BE276" s="241">
        <f t="shared" si="54"/>
        <v>0</v>
      </c>
      <c r="BF276" s="241">
        <f t="shared" si="55"/>
        <v>0</v>
      </c>
      <c r="BG276" s="241">
        <f t="shared" si="56"/>
        <v>0</v>
      </c>
      <c r="BH276" s="241">
        <f t="shared" si="57"/>
        <v>0</v>
      </c>
      <c r="BI276" s="241">
        <f t="shared" si="58"/>
        <v>0</v>
      </c>
      <c r="BJ276" s="146" t="s">
        <v>213</v>
      </c>
      <c r="BK276" s="241">
        <f t="shared" si="59"/>
        <v>0</v>
      </c>
      <c r="BL276" s="146" t="s">
        <v>123</v>
      </c>
      <c r="BM276" s="240" t="s">
        <v>2001</v>
      </c>
    </row>
    <row r="277" spans="2:65" s="152" customFormat="1" ht="16.5" customHeight="1" x14ac:dyDescent="0.25">
      <c r="B277" s="226"/>
      <c r="C277" s="242" t="s">
        <v>638</v>
      </c>
      <c r="D277" s="242" t="s">
        <v>1598</v>
      </c>
      <c r="E277" s="243" t="s">
        <v>2002</v>
      </c>
      <c r="F277" s="244" t="s">
        <v>1997</v>
      </c>
      <c r="G277" s="245" t="s">
        <v>313</v>
      </c>
      <c r="H277" s="246">
        <v>60</v>
      </c>
      <c r="I277" s="247"/>
      <c r="J277" s="248">
        <f t="shared" si="50"/>
        <v>0</v>
      </c>
      <c r="K277" s="249"/>
      <c r="L277" s="153"/>
      <c r="M277" s="250" t="s">
        <v>4</v>
      </c>
      <c r="N277" s="251" t="s">
        <v>1539</v>
      </c>
      <c r="P277" s="238">
        <f t="shared" si="51"/>
        <v>0</v>
      </c>
      <c r="Q277" s="238">
        <v>0</v>
      </c>
      <c r="R277" s="238">
        <f t="shared" si="52"/>
        <v>0</v>
      </c>
      <c r="S277" s="238">
        <v>0</v>
      </c>
      <c r="T277" s="239">
        <f t="shared" si="53"/>
        <v>0</v>
      </c>
      <c r="AR277" s="240" t="s">
        <v>123</v>
      </c>
      <c r="AT277" s="240" t="s">
        <v>1598</v>
      </c>
      <c r="AU277" s="240" t="s">
        <v>221</v>
      </c>
      <c r="AY277" s="146" t="s">
        <v>1590</v>
      </c>
      <c r="BE277" s="241">
        <f t="shared" si="54"/>
        <v>0</v>
      </c>
      <c r="BF277" s="241">
        <f t="shared" si="55"/>
        <v>0</v>
      </c>
      <c r="BG277" s="241">
        <f t="shared" si="56"/>
        <v>0</v>
      </c>
      <c r="BH277" s="241">
        <f t="shared" si="57"/>
        <v>0</v>
      </c>
      <c r="BI277" s="241">
        <f t="shared" si="58"/>
        <v>0</v>
      </c>
      <c r="BJ277" s="146" t="s">
        <v>213</v>
      </c>
      <c r="BK277" s="241">
        <f t="shared" si="59"/>
        <v>0</v>
      </c>
      <c r="BL277" s="146" t="s">
        <v>123</v>
      </c>
      <c r="BM277" s="240" t="s">
        <v>2003</v>
      </c>
    </row>
    <row r="278" spans="2:65" s="152" customFormat="1" ht="24.2" customHeight="1" x14ac:dyDescent="0.25">
      <c r="B278" s="226"/>
      <c r="C278" s="227" t="s">
        <v>641</v>
      </c>
      <c r="D278" s="227" t="s">
        <v>1593</v>
      </c>
      <c r="E278" s="228" t="s">
        <v>2004</v>
      </c>
      <c r="F278" s="229" t="s">
        <v>2005</v>
      </c>
      <c r="G278" s="230" t="s">
        <v>1593</v>
      </c>
      <c r="H278" s="231">
        <v>60</v>
      </c>
      <c r="I278" s="232"/>
      <c r="J278" s="233">
        <f t="shared" si="50"/>
        <v>0</v>
      </c>
      <c r="K278" s="234"/>
      <c r="L278" s="235"/>
      <c r="M278" s="236" t="s">
        <v>4</v>
      </c>
      <c r="N278" s="237" t="s">
        <v>1539</v>
      </c>
      <c r="P278" s="238">
        <f t="shared" si="51"/>
        <v>0</v>
      </c>
      <c r="Q278" s="238">
        <v>0</v>
      </c>
      <c r="R278" s="238">
        <f t="shared" si="52"/>
        <v>0</v>
      </c>
      <c r="S278" s="238">
        <v>0</v>
      </c>
      <c r="T278" s="239">
        <f t="shared" si="53"/>
        <v>0</v>
      </c>
      <c r="AR278" s="240" t="s">
        <v>1018</v>
      </c>
      <c r="AT278" s="240" t="s">
        <v>1593</v>
      </c>
      <c r="AU278" s="240" t="s">
        <v>221</v>
      </c>
      <c r="AY278" s="146" t="s">
        <v>1590</v>
      </c>
      <c r="BE278" s="241">
        <f t="shared" si="54"/>
        <v>0</v>
      </c>
      <c r="BF278" s="241">
        <f t="shared" si="55"/>
        <v>0</v>
      </c>
      <c r="BG278" s="241">
        <f t="shared" si="56"/>
        <v>0</v>
      </c>
      <c r="BH278" s="241">
        <f t="shared" si="57"/>
        <v>0</v>
      </c>
      <c r="BI278" s="241">
        <f t="shared" si="58"/>
        <v>0</v>
      </c>
      <c r="BJ278" s="146" t="s">
        <v>213</v>
      </c>
      <c r="BK278" s="241">
        <f t="shared" si="59"/>
        <v>0</v>
      </c>
      <c r="BL278" s="146" t="s">
        <v>123</v>
      </c>
      <c r="BM278" s="240" t="s">
        <v>2006</v>
      </c>
    </row>
    <row r="279" spans="2:65" s="152" customFormat="1" ht="24.2" customHeight="1" x14ac:dyDescent="0.25">
      <c r="B279" s="226"/>
      <c r="C279" s="242" t="s">
        <v>647</v>
      </c>
      <c r="D279" s="242" t="s">
        <v>1598</v>
      </c>
      <c r="E279" s="243" t="s">
        <v>2007</v>
      </c>
      <c r="F279" s="244" t="s">
        <v>2008</v>
      </c>
      <c r="G279" s="245" t="s">
        <v>313</v>
      </c>
      <c r="H279" s="246">
        <v>60</v>
      </c>
      <c r="I279" s="247"/>
      <c r="J279" s="248">
        <f t="shared" si="50"/>
        <v>0</v>
      </c>
      <c r="K279" s="249"/>
      <c r="L279" s="153"/>
      <c r="M279" s="250" t="s">
        <v>4</v>
      </c>
      <c r="N279" s="251" t="s">
        <v>1539</v>
      </c>
      <c r="P279" s="238">
        <f t="shared" si="51"/>
        <v>0</v>
      </c>
      <c r="Q279" s="238">
        <v>0</v>
      </c>
      <c r="R279" s="238">
        <f t="shared" si="52"/>
        <v>0</v>
      </c>
      <c r="S279" s="238">
        <v>0</v>
      </c>
      <c r="T279" s="239">
        <f t="shared" si="53"/>
        <v>0</v>
      </c>
      <c r="AR279" s="240" t="s">
        <v>123</v>
      </c>
      <c r="AT279" s="240" t="s">
        <v>1598</v>
      </c>
      <c r="AU279" s="240" t="s">
        <v>221</v>
      </c>
      <c r="AY279" s="146" t="s">
        <v>1590</v>
      </c>
      <c r="BE279" s="241">
        <f t="shared" si="54"/>
        <v>0</v>
      </c>
      <c r="BF279" s="241">
        <f t="shared" si="55"/>
        <v>0</v>
      </c>
      <c r="BG279" s="241">
        <f t="shared" si="56"/>
        <v>0</v>
      </c>
      <c r="BH279" s="241">
        <f t="shared" si="57"/>
        <v>0</v>
      </c>
      <c r="BI279" s="241">
        <f t="shared" si="58"/>
        <v>0</v>
      </c>
      <c r="BJ279" s="146" t="s">
        <v>213</v>
      </c>
      <c r="BK279" s="241">
        <f t="shared" si="59"/>
        <v>0</v>
      </c>
      <c r="BL279" s="146" t="s">
        <v>123</v>
      </c>
      <c r="BM279" s="240" t="s">
        <v>2009</v>
      </c>
    </row>
    <row r="280" spans="2:65" s="152" customFormat="1" ht="16.5" customHeight="1" x14ac:dyDescent="0.25">
      <c r="B280" s="226"/>
      <c r="C280" s="227" t="s">
        <v>650</v>
      </c>
      <c r="D280" s="227" t="s">
        <v>1593</v>
      </c>
      <c r="E280" s="228" t="s">
        <v>2010</v>
      </c>
      <c r="F280" s="229" t="s">
        <v>2011</v>
      </c>
      <c r="G280" s="230" t="s">
        <v>1593</v>
      </c>
      <c r="H280" s="231">
        <v>60</v>
      </c>
      <c r="I280" s="232"/>
      <c r="J280" s="233">
        <f t="shared" si="50"/>
        <v>0</v>
      </c>
      <c r="K280" s="234"/>
      <c r="L280" s="235"/>
      <c r="M280" s="236" t="s">
        <v>4</v>
      </c>
      <c r="N280" s="237" t="s">
        <v>1539</v>
      </c>
      <c r="P280" s="238">
        <f t="shared" si="51"/>
        <v>0</v>
      </c>
      <c r="Q280" s="238">
        <v>0</v>
      </c>
      <c r="R280" s="238">
        <f t="shared" si="52"/>
        <v>0</v>
      </c>
      <c r="S280" s="238">
        <v>0</v>
      </c>
      <c r="T280" s="239">
        <f t="shared" si="53"/>
        <v>0</v>
      </c>
      <c r="AR280" s="240" t="s">
        <v>1018</v>
      </c>
      <c r="AT280" s="240" t="s">
        <v>1593</v>
      </c>
      <c r="AU280" s="240" t="s">
        <v>221</v>
      </c>
      <c r="AY280" s="146" t="s">
        <v>1590</v>
      </c>
      <c r="BE280" s="241">
        <f t="shared" si="54"/>
        <v>0</v>
      </c>
      <c r="BF280" s="241">
        <f t="shared" si="55"/>
        <v>0</v>
      </c>
      <c r="BG280" s="241">
        <f t="shared" si="56"/>
        <v>0</v>
      </c>
      <c r="BH280" s="241">
        <f t="shared" si="57"/>
        <v>0</v>
      </c>
      <c r="BI280" s="241">
        <f t="shared" si="58"/>
        <v>0</v>
      </c>
      <c r="BJ280" s="146" t="s">
        <v>213</v>
      </c>
      <c r="BK280" s="241">
        <f t="shared" si="59"/>
        <v>0</v>
      </c>
      <c r="BL280" s="146" t="s">
        <v>123</v>
      </c>
      <c r="BM280" s="240" t="s">
        <v>2012</v>
      </c>
    </row>
    <row r="281" spans="2:65" s="152" customFormat="1" ht="16.5" customHeight="1" x14ac:dyDescent="0.25">
      <c r="B281" s="226"/>
      <c r="C281" s="242" t="s">
        <v>653</v>
      </c>
      <c r="D281" s="242" t="s">
        <v>1598</v>
      </c>
      <c r="E281" s="243" t="s">
        <v>2013</v>
      </c>
      <c r="F281" s="244" t="s">
        <v>2014</v>
      </c>
      <c r="G281" s="245" t="s">
        <v>313</v>
      </c>
      <c r="H281" s="246">
        <v>480</v>
      </c>
      <c r="I281" s="247"/>
      <c r="J281" s="248">
        <f t="shared" si="50"/>
        <v>0</v>
      </c>
      <c r="K281" s="249"/>
      <c r="L281" s="153"/>
      <c r="M281" s="250" t="s">
        <v>4</v>
      </c>
      <c r="N281" s="251" t="s">
        <v>1539</v>
      </c>
      <c r="P281" s="238">
        <f t="shared" si="51"/>
        <v>0</v>
      </c>
      <c r="Q281" s="238">
        <v>0</v>
      </c>
      <c r="R281" s="238">
        <f t="shared" si="52"/>
        <v>0</v>
      </c>
      <c r="S281" s="238">
        <v>0</v>
      </c>
      <c r="T281" s="239">
        <f t="shared" si="53"/>
        <v>0</v>
      </c>
      <c r="AR281" s="240" t="s">
        <v>123</v>
      </c>
      <c r="AT281" s="240" t="s">
        <v>1598</v>
      </c>
      <c r="AU281" s="240" t="s">
        <v>221</v>
      </c>
      <c r="AY281" s="146" t="s">
        <v>1590</v>
      </c>
      <c r="BE281" s="241">
        <f t="shared" si="54"/>
        <v>0</v>
      </c>
      <c r="BF281" s="241">
        <f t="shared" si="55"/>
        <v>0</v>
      </c>
      <c r="BG281" s="241">
        <f t="shared" si="56"/>
        <v>0</v>
      </c>
      <c r="BH281" s="241">
        <f t="shared" si="57"/>
        <v>0</v>
      </c>
      <c r="BI281" s="241">
        <f t="shared" si="58"/>
        <v>0</v>
      </c>
      <c r="BJ281" s="146" t="s">
        <v>213</v>
      </c>
      <c r="BK281" s="241">
        <f t="shared" si="59"/>
        <v>0</v>
      </c>
      <c r="BL281" s="146" t="s">
        <v>123</v>
      </c>
      <c r="BM281" s="240" t="s">
        <v>2015</v>
      </c>
    </row>
    <row r="282" spans="2:65" s="152" customFormat="1" ht="16.5" customHeight="1" x14ac:dyDescent="0.25">
      <c r="B282" s="226"/>
      <c r="C282" s="227" t="s">
        <v>656</v>
      </c>
      <c r="D282" s="227" t="s">
        <v>1593</v>
      </c>
      <c r="E282" s="228" t="s">
        <v>2016</v>
      </c>
      <c r="F282" s="229" t="s">
        <v>2017</v>
      </c>
      <c r="G282" s="230" t="s">
        <v>1593</v>
      </c>
      <c r="H282" s="231">
        <v>480</v>
      </c>
      <c r="I282" s="232"/>
      <c r="J282" s="233">
        <f t="shared" si="50"/>
        <v>0</v>
      </c>
      <c r="K282" s="234"/>
      <c r="L282" s="235"/>
      <c r="M282" s="236" t="s">
        <v>4</v>
      </c>
      <c r="N282" s="237" t="s">
        <v>1539</v>
      </c>
      <c r="P282" s="238">
        <f t="shared" si="51"/>
        <v>0</v>
      </c>
      <c r="Q282" s="238">
        <v>0</v>
      </c>
      <c r="R282" s="238">
        <f t="shared" si="52"/>
        <v>0</v>
      </c>
      <c r="S282" s="238">
        <v>0</v>
      </c>
      <c r="T282" s="239">
        <f t="shared" si="53"/>
        <v>0</v>
      </c>
      <c r="AR282" s="240" t="s">
        <v>1018</v>
      </c>
      <c r="AT282" s="240" t="s">
        <v>1593</v>
      </c>
      <c r="AU282" s="240" t="s">
        <v>221</v>
      </c>
      <c r="AY282" s="146" t="s">
        <v>1590</v>
      </c>
      <c r="BE282" s="241">
        <f t="shared" si="54"/>
        <v>0</v>
      </c>
      <c r="BF282" s="241">
        <f t="shared" si="55"/>
        <v>0</v>
      </c>
      <c r="BG282" s="241">
        <f t="shared" si="56"/>
        <v>0</v>
      </c>
      <c r="BH282" s="241">
        <f t="shared" si="57"/>
        <v>0</v>
      </c>
      <c r="BI282" s="241">
        <f t="shared" si="58"/>
        <v>0</v>
      </c>
      <c r="BJ282" s="146" t="s">
        <v>213</v>
      </c>
      <c r="BK282" s="241">
        <f t="shared" si="59"/>
        <v>0</v>
      </c>
      <c r="BL282" s="146" t="s">
        <v>123</v>
      </c>
      <c r="BM282" s="240" t="s">
        <v>2018</v>
      </c>
    </row>
    <row r="283" spans="2:65" s="152" customFormat="1" ht="16.5" customHeight="1" x14ac:dyDescent="0.25">
      <c r="B283" s="226"/>
      <c r="C283" s="242" t="s">
        <v>661</v>
      </c>
      <c r="D283" s="242" t="s">
        <v>1598</v>
      </c>
      <c r="E283" s="243" t="s">
        <v>2019</v>
      </c>
      <c r="F283" s="244" t="s">
        <v>2020</v>
      </c>
      <c r="G283" s="245" t="s">
        <v>309</v>
      </c>
      <c r="H283" s="246">
        <v>8</v>
      </c>
      <c r="I283" s="247"/>
      <c r="J283" s="248">
        <f t="shared" si="50"/>
        <v>0</v>
      </c>
      <c r="K283" s="249"/>
      <c r="L283" s="153"/>
      <c r="M283" s="250" t="s">
        <v>4</v>
      </c>
      <c r="N283" s="251" t="s">
        <v>1539</v>
      </c>
      <c r="P283" s="238">
        <f t="shared" si="51"/>
        <v>0</v>
      </c>
      <c r="Q283" s="238">
        <v>0</v>
      </c>
      <c r="R283" s="238">
        <f t="shared" si="52"/>
        <v>0</v>
      </c>
      <c r="S283" s="238">
        <v>0</v>
      </c>
      <c r="T283" s="239">
        <f t="shared" si="53"/>
        <v>0</v>
      </c>
      <c r="AR283" s="240" t="s">
        <v>123</v>
      </c>
      <c r="AT283" s="240" t="s">
        <v>1598</v>
      </c>
      <c r="AU283" s="240" t="s">
        <v>221</v>
      </c>
      <c r="AY283" s="146" t="s">
        <v>1590</v>
      </c>
      <c r="BE283" s="241">
        <f t="shared" si="54"/>
        <v>0</v>
      </c>
      <c r="BF283" s="241">
        <f t="shared" si="55"/>
        <v>0</v>
      </c>
      <c r="BG283" s="241">
        <f t="shared" si="56"/>
        <v>0</v>
      </c>
      <c r="BH283" s="241">
        <f t="shared" si="57"/>
        <v>0</v>
      </c>
      <c r="BI283" s="241">
        <f t="shared" si="58"/>
        <v>0</v>
      </c>
      <c r="BJ283" s="146" t="s">
        <v>213</v>
      </c>
      <c r="BK283" s="241">
        <f t="shared" si="59"/>
        <v>0</v>
      </c>
      <c r="BL283" s="146" t="s">
        <v>123</v>
      </c>
      <c r="BM283" s="240" t="s">
        <v>2021</v>
      </c>
    </row>
    <row r="284" spans="2:65" s="152" customFormat="1" ht="16.5" customHeight="1" x14ac:dyDescent="0.25">
      <c r="B284" s="226"/>
      <c r="C284" s="227" t="s">
        <v>664</v>
      </c>
      <c r="D284" s="227" t="s">
        <v>1593</v>
      </c>
      <c r="E284" s="228" t="s">
        <v>2022</v>
      </c>
      <c r="F284" s="229" t="s">
        <v>2023</v>
      </c>
      <c r="G284" s="230" t="s">
        <v>1631</v>
      </c>
      <c r="H284" s="231">
        <v>8</v>
      </c>
      <c r="I284" s="232"/>
      <c r="J284" s="233">
        <f t="shared" si="50"/>
        <v>0</v>
      </c>
      <c r="K284" s="234"/>
      <c r="L284" s="235"/>
      <c r="M284" s="236" t="s">
        <v>4</v>
      </c>
      <c r="N284" s="237" t="s">
        <v>1539</v>
      </c>
      <c r="P284" s="238">
        <f t="shared" si="51"/>
        <v>0</v>
      </c>
      <c r="Q284" s="238">
        <v>0</v>
      </c>
      <c r="R284" s="238">
        <f t="shared" si="52"/>
        <v>0</v>
      </c>
      <c r="S284" s="238">
        <v>0</v>
      </c>
      <c r="T284" s="239">
        <f t="shared" si="53"/>
        <v>0</v>
      </c>
      <c r="AR284" s="240" t="s">
        <v>1018</v>
      </c>
      <c r="AT284" s="240" t="s">
        <v>1593</v>
      </c>
      <c r="AU284" s="240" t="s">
        <v>221</v>
      </c>
      <c r="AY284" s="146" t="s">
        <v>1590</v>
      </c>
      <c r="BE284" s="241">
        <f t="shared" si="54"/>
        <v>0</v>
      </c>
      <c r="BF284" s="241">
        <f t="shared" si="55"/>
        <v>0</v>
      </c>
      <c r="BG284" s="241">
        <f t="shared" si="56"/>
        <v>0</v>
      </c>
      <c r="BH284" s="241">
        <f t="shared" si="57"/>
        <v>0</v>
      </c>
      <c r="BI284" s="241">
        <f t="shared" si="58"/>
        <v>0</v>
      </c>
      <c r="BJ284" s="146" t="s">
        <v>213</v>
      </c>
      <c r="BK284" s="241">
        <f t="shared" si="59"/>
        <v>0</v>
      </c>
      <c r="BL284" s="146" t="s">
        <v>123</v>
      </c>
      <c r="BM284" s="240" t="s">
        <v>2024</v>
      </c>
    </row>
    <row r="285" spans="2:65" s="152" customFormat="1" ht="16.5" customHeight="1" x14ac:dyDescent="0.25">
      <c r="B285" s="226"/>
      <c r="C285" s="242" t="s">
        <v>667</v>
      </c>
      <c r="D285" s="242" t="s">
        <v>1598</v>
      </c>
      <c r="E285" s="243" t="s">
        <v>2025</v>
      </c>
      <c r="F285" s="244" t="s">
        <v>2026</v>
      </c>
      <c r="G285" s="245" t="s">
        <v>1465</v>
      </c>
      <c r="H285" s="246">
        <v>8</v>
      </c>
      <c r="I285" s="247"/>
      <c r="J285" s="248">
        <f t="shared" si="50"/>
        <v>0</v>
      </c>
      <c r="K285" s="249"/>
      <c r="L285" s="153"/>
      <c r="M285" s="250" t="s">
        <v>4</v>
      </c>
      <c r="N285" s="251" t="s">
        <v>1539</v>
      </c>
      <c r="P285" s="238">
        <f t="shared" si="51"/>
        <v>0</v>
      </c>
      <c r="Q285" s="238">
        <v>0</v>
      </c>
      <c r="R285" s="238">
        <f t="shared" si="52"/>
        <v>0</v>
      </c>
      <c r="S285" s="238">
        <v>0</v>
      </c>
      <c r="T285" s="239">
        <f t="shared" si="53"/>
        <v>0</v>
      </c>
      <c r="AR285" s="240" t="s">
        <v>123</v>
      </c>
      <c r="AT285" s="240" t="s">
        <v>1598</v>
      </c>
      <c r="AU285" s="240" t="s">
        <v>221</v>
      </c>
      <c r="AY285" s="146" t="s">
        <v>1590</v>
      </c>
      <c r="BE285" s="241">
        <f t="shared" si="54"/>
        <v>0</v>
      </c>
      <c r="BF285" s="241">
        <f t="shared" si="55"/>
        <v>0</v>
      </c>
      <c r="BG285" s="241">
        <f t="shared" si="56"/>
        <v>0</v>
      </c>
      <c r="BH285" s="241">
        <f t="shared" si="57"/>
        <v>0</v>
      </c>
      <c r="BI285" s="241">
        <f t="shared" si="58"/>
        <v>0</v>
      </c>
      <c r="BJ285" s="146" t="s">
        <v>213</v>
      </c>
      <c r="BK285" s="241">
        <f t="shared" si="59"/>
        <v>0</v>
      </c>
      <c r="BL285" s="146" t="s">
        <v>123</v>
      </c>
      <c r="BM285" s="240" t="s">
        <v>2027</v>
      </c>
    </row>
    <row r="286" spans="2:65" s="152" customFormat="1" ht="16.5" customHeight="1" x14ac:dyDescent="0.25">
      <c r="B286" s="226"/>
      <c r="C286" s="227" t="s">
        <v>670</v>
      </c>
      <c r="D286" s="227" t="s">
        <v>1593</v>
      </c>
      <c r="E286" s="228" t="s">
        <v>2028</v>
      </c>
      <c r="F286" s="229" t="s">
        <v>2029</v>
      </c>
      <c r="G286" s="230" t="s">
        <v>309</v>
      </c>
      <c r="H286" s="231">
        <v>8</v>
      </c>
      <c r="I286" s="232"/>
      <c r="J286" s="233">
        <f t="shared" si="50"/>
        <v>0</v>
      </c>
      <c r="K286" s="234"/>
      <c r="L286" s="235"/>
      <c r="M286" s="236" t="s">
        <v>4</v>
      </c>
      <c r="N286" s="237" t="s">
        <v>1539</v>
      </c>
      <c r="P286" s="238">
        <f t="shared" si="51"/>
        <v>0</v>
      </c>
      <c r="Q286" s="238">
        <v>6.0000000000000002E-5</v>
      </c>
      <c r="R286" s="238">
        <f t="shared" si="52"/>
        <v>4.8000000000000001E-4</v>
      </c>
      <c r="S286" s="238">
        <v>0</v>
      </c>
      <c r="T286" s="239">
        <f t="shared" si="53"/>
        <v>0</v>
      </c>
      <c r="AR286" s="240" t="s">
        <v>615</v>
      </c>
      <c r="AT286" s="240" t="s">
        <v>1593</v>
      </c>
      <c r="AU286" s="240" t="s">
        <v>221</v>
      </c>
      <c r="AY286" s="146" t="s">
        <v>1590</v>
      </c>
      <c r="BE286" s="241">
        <f t="shared" si="54"/>
        <v>0</v>
      </c>
      <c r="BF286" s="241">
        <f t="shared" si="55"/>
        <v>0</v>
      </c>
      <c r="BG286" s="241">
        <f t="shared" si="56"/>
        <v>0</v>
      </c>
      <c r="BH286" s="241">
        <f t="shared" si="57"/>
        <v>0</v>
      </c>
      <c r="BI286" s="241">
        <f t="shared" si="58"/>
        <v>0</v>
      </c>
      <c r="BJ286" s="146" t="s">
        <v>213</v>
      </c>
      <c r="BK286" s="241">
        <f t="shared" si="59"/>
        <v>0</v>
      </c>
      <c r="BL286" s="146" t="s">
        <v>615</v>
      </c>
      <c r="BM286" s="240" t="s">
        <v>2030</v>
      </c>
    </row>
    <row r="287" spans="2:65" s="152" customFormat="1" ht="16.5" customHeight="1" x14ac:dyDescent="0.25">
      <c r="B287" s="226"/>
      <c r="C287" s="227" t="s">
        <v>671</v>
      </c>
      <c r="D287" s="227" t="s">
        <v>1593</v>
      </c>
      <c r="E287" s="228" t="s">
        <v>2031</v>
      </c>
      <c r="F287" s="229" t="s">
        <v>2032</v>
      </c>
      <c r="G287" s="230" t="s">
        <v>1465</v>
      </c>
      <c r="H287" s="231">
        <v>16</v>
      </c>
      <c r="I287" s="232"/>
      <c r="J287" s="233">
        <f t="shared" si="50"/>
        <v>0</v>
      </c>
      <c r="K287" s="234"/>
      <c r="L287" s="235"/>
      <c r="M287" s="236" t="s">
        <v>4</v>
      </c>
      <c r="N287" s="237" t="s">
        <v>1539</v>
      </c>
      <c r="P287" s="238">
        <f t="shared" si="51"/>
        <v>0</v>
      </c>
      <c r="Q287" s="238">
        <v>0</v>
      </c>
      <c r="R287" s="238">
        <f t="shared" si="52"/>
        <v>0</v>
      </c>
      <c r="S287" s="238">
        <v>0</v>
      </c>
      <c r="T287" s="239">
        <f t="shared" si="53"/>
        <v>0</v>
      </c>
      <c r="AR287" s="240" t="s">
        <v>1018</v>
      </c>
      <c r="AT287" s="240" t="s">
        <v>1593</v>
      </c>
      <c r="AU287" s="240" t="s">
        <v>221</v>
      </c>
      <c r="AY287" s="146" t="s">
        <v>1590</v>
      </c>
      <c r="BE287" s="241">
        <f t="shared" si="54"/>
        <v>0</v>
      </c>
      <c r="BF287" s="241">
        <f t="shared" si="55"/>
        <v>0</v>
      </c>
      <c r="BG287" s="241">
        <f t="shared" si="56"/>
        <v>0</v>
      </c>
      <c r="BH287" s="241">
        <f t="shared" si="57"/>
        <v>0</v>
      </c>
      <c r="BI287" s="241">
        <f t="shared" si="58"/>
        <v>0</v>
      </c>
      <c r="BJ287" s="146" t="s">
        <v>213</v>
      </c>
      <c r="BK287" s="241">
        <f t="shared" si="59"/>
        <v>0</v>
      </c>
      <c r="BL287" s="146" t="s">
        <v>123</v>
      </c>
      <c r="BM287" s="240" t="s">
        <v>2033</v>
      </c>
    </row>
    <row r="288" spans="2:65" s="152" customFormat="1" ht="16.5" customHeight="1" x14ac:dyDescent="0.25">
      <c r="B288" s="226"/>
      <c r="C288" s="227" t="s">
        <v>674</v>
      </c>
      <c r="D288" s="227" t="s">
        <v>1593</v>
      </c>
      <c r="E288" s="228" t="s">
        <v>2034</v>
      </c>
      <c r="F288" s="229" t="s">
        <v>2035</v>
      </c>
      <c r="G288" s="230" t="s">
        <v>1465</v>
      </c>
      <c r="H288" s="231">
        <v>8</v>
      </c>
      <c r="I288" s="232"/>
      <c r="J288" s="233">
        <f t="shared" si="50"/>
        <v>0</v>
      </c>
      <c r="K288" s="234"/>
      <c r="L288" s="235"/>
      <c r="M288" s="236" t="s">
        <v>4</v>
      </c>
      <c r="N288" s="237" t="s">
        <v>1539</v>
      </c>
      <c r="P288" s="238">
        <f t="shared" si="51"/>
        <v>0</v>
      </c>
      <c r="Q288" s="238">
        <v>0</v>
      </c>
      <c r="R288" s="238">
        <f t="shared" si="52"/>
        <v>0</v>
      </c>
      <c r="S288" s="238">
        <v>0</v>
      </c>
      <c r="T288" s="239">
        <f t="shared" si="53"/>
        <v>0</v>
      </c>
      <c r="AR288" s="240" t="s">
        <v>1018</v>
      </c>
      <c r="AT288" s="240" t="s">
        <v>1593</v>
      </c>
      <c r="AU288" s="240" t="s">
        <v>221</v>
      </c>
      <c r="AY288" s="146" t="s">
        <v>1590</v>
      </c>
      <c r="BE288" s="241">
        <f t="shared" si="54"/>
        <v>0</v>
      </c>
      <c r="BF288" s="241">
        <f t="shared" si="55"/>
        <v>0</v>
      </c>
      <c r="BG288" s="241">
        <f t="shared" si="56"/>
        <v>0</v>
      </c>
      <c r="BH288" s="241">
        <f t="shared" si="57"/>
        <v>0</v>
      </c>
      <c r="BI288" s="241">
        <f t="shared" si="58"/>
        <v>0</v>
      </c>
      <c r="BJ288" s="146" t="s">
        <v>213</v>
      </c>
      <c r="BK288" s="241">
        <f t="shared" si="59"/>
        <v>0</v>
      </c>
      <c r="BL288" s="146" t="s">
        <v>123</v>
      </c>
      <c r="BM288" s="240" t="s">
        <v>2036</v>
      </c>
    </row>
    <row r="289" spans="2:65" s="152" customFormat="1" ht="16.5" customHeight="1" x14ac:dyDescent="0.25">
      <c r="B289" s="226"/>
      <c r="C289" s="227" t="s">
        <v>677</v>
      </c>
      <c r="D289" s="227" t="s">
        <v>1593</v>
      </c>
      <c r="E289" s="228" t="s">
        <v>2037</v>
      </c>
      <c r="F289" s="229" t="s">
        <v>2038</v>
      </c>
      <c r="G289" s="230" t="s">
        <v>2039</v>
      </c>
      <c r="H289" s="231">
        <v>1</v>
      </c>
      <c r="I289" s="232"/>
      <c r="J289" s="233">
        <f t="shared" si="50"/>
        <v>0</v>
      </c>
      <c r="K289" s="234"/>
      <c r="L289" s="235"/>
      <c r="M289" s="236" t="s">
        <v>4</v>
      </c>
      <c r="N289" s="237" t="s">
        <v>1539</v>
      </c>
      <c r="P289" s="238">
        <f t="shared" si="51"/>
        <v>0</v>
      </c>
      <c r="Q289" s="238">
        <v>0</v>
      </c>
      <c r="R289" s="238">
        <f t="shared" si="52"/>
        <v>0</v>
      </c>
      <c r="S289" s="238">
        <v>0</v>
      </c>
      <c r="T289" s="239">
        <f t="shared" si="53"/>
        <v>0</v>
      </c>
      <c r="AR289" s="240" t="s">
        <v>1018</v>
      </c>
      <c r="AT289" s="240" t="s">
        <v>1593</v>
      </c>
      <c r="AU289" s="240" t="s">
        <v>221</v>
      </c>
      <c r="AY289" s="146" t="s">
        <v>1590</v>
      </c>
      <c r="BE289" s="241">
        <f t="shared" si="54"/>
        <v>0</v>
      </c>
      <c r="BF289" s="241">
        <f t="shared" si="55"/>
        <v>0</v>
      </c>
      <c r="BG289" s="241">
        <f t="shared" si="56"/>
        <v>0</v>
      </c>
      <c r="BH289" s="241">
        <f t="shared" si="57"/>
        <v>0</v>
      </c>
      <c r="BI289" s="241">
        <f t="shared" si="58"/>
        <v>0</v>
      </c>
      <c r="BJ289" s="146" t="s">
        <v>213</v>
      </c>
      <c r="BK289" s="241">
        <f t="shared" si="59"/>
        <v>0</v>
      </c>
      <c r="BL289" s="146" t="s">
        <v>123</v>
      </c>
      <c r="BM289" s="240" t="s">
        <v>2040</v>
      </c>
    </row>
    <row r="290" spans="2:65" s="152" customFormat="1" ht="21.75" customHeight="1" x14ac:dyDescent="0.25">
      <c r="B290" s="226"/>
      <c r="C290" s="242" t="s">
        <v>681</v>
      </c>
      <c r="D290" s="242" t="s">
        <v>1598</v>
      </c>
      <c r="E290" s="243" t="s">
        <v>2041</v>
      </c>
      <c r="F290" s="244" t="s">
        <v>2042</v>
      </c>
      <c r="G290" s="245" t="s">
        <v>309</v>
      </c>
      <c r="H290" s="246">
        <v>10</v>
      </c>
      <c r="I290" s="247"/>
      <c r="J290" s="248">
        <f t="shared" si="50"/>
        <v>0</v>
      </c>
      <c r="K290" s="249"/>
      <c r="L290" s="153"/>
      <c r="M290" s="250" t="s">
        <v>4</v>
      </c>
      <c r="N290" s="251" t="s">
        <v>1539</v>
      </c>
      <c r="P290" s="238">
        <f t="shared" si="51"/>
        <v>0</v>
      </c>
      <c r="Q290" s="238">
        <v>0</v>
      </c>
      <c r="R290" s="238">
        <f t="shared" si="52"/>
        <v>0</v>
      </c>
      <c r="S290" s="238">
        <v>0</v>
      </c>
      <c r="T290" s="239">
        <f t="shared" si="53"/>
        <v>0</v>
      </c>
      <c r="AR290" s="240" t="s">
        <v>93</v>
      </c>
      <c r="AT290" s="240" t="s">
        <v>1598</v>
      </c>
      <c r="AU290" s="240" t="s">
        <v>221</v>
      </c>
      <c r="AY290" s="146" t="s">
        <v>1590</v>
      </c>
      <c r="BE290" s="241">
        <f t="shared" si="54"/>
        <v>0</v>
      </c>
      <c r="BF290" s="241">
        <f t="shared" si="55"/>
        <v>0</v>
      </c>
      <c r="BG290" s="241">
        <f t="shared" si="56"/>
        <v>0</v>
      </c>
      <c r="BH290" s="241">
        <f t="shared" si="57"/>
        <v>0</v>
      </c>
      <c r="BI290" s="241">
        <f t="shared" si="58"/>
        <v>0</v>
      </c>
      <c r="BJ290" s="146" t="s">
        <v>213</v>
      </c>
      <c r="BK290" s="241">
        <f t="shared" si="59"/>
        <v>0</v>
      </c>
      <c r="BL290" s="146" t="s">
        <v>93</v>
      </c>
      <c r="BM290" s="240" t="s">
        <v>2043</v>
      </c>
    </row>
    <row r="291" spans="2:65" s="152" customFormat="1" ht="16.5" customHeight="1" x14ac:dyDescent="0.25">
      <c r="B291" s="226"/>
      <c r="C291" s="242" t="s">
        <v>684</v>
      </c>
      <c r="D291" s="242" t="s">
        <v>1598</v>
      </c>
      <c r="E291" s="243" t="s">
        <v>2044</v>
      </c>
      <c r="F291" s="244" t="s">
        <v>2045</v>
      </c>
      <c r="G291" s="245" t="s">
        <v>309</v>
      </c>
      <c r="H291" s="246">
        <v>20</v>
      </c>
      <c r="I291" s="247"/>
      <c r="J291" s="248">
        <f t="shared" si="50"/>
        <v>0</v>
      </c>
      <c r="K291" s="249"/>
      <c r="L291" s="153"/>
      <c r="M291" s="250" t="s">
        <v>4</v>
      </c>
      <c r="N291" s="251" t="s">
        <v>1539</v>
      </c>
      <c r="P291" s="238">
        <f t="shared" si="51"/>
        <v>0</v>
      </c>
      <c r="Q291" s="238">
        <v>0</v>
      </c>
      <c r="R291" s="238">
        <f t="shared" si="52"/>
        <v>0</v>
      </c>
      <c r="S291" s="238">
        <v>0</v>
      </c>
      <c r="T291" s="239">
        <f t="shared" si="53"/>
        <v>0</v>
      </c>
      <c r="AR291" s="240" t="s">
        <v>93</v>
      </c>
      <c r="AT291" s="240" t="s">
        <v>1598</v>
      </c>
      <c r="AU291" s="240" t="s">
        <v>221</v>
      </c>
      <c r="AY291" s="146" t="s">
        <v>1590</v>
      </c>
      <c r="BE291" s="241">
        <f t="shared" si="54"/>
        <v>0</v>
      </c>
      <c r="BF291" s="241">
        <f t="shared" si="55"/>
        <v>0</v>
      </c>
      <c r="BG291" s="241">
        <f t="shared" si="56"/>
        <v>0</v>
      </c>
      <c r="BH291" s="241">
        <f t="shared" si="57"/>
        <v>0</v>
      </c>
      <c r="BI291" s="241">
        <f t="shared" si="58"/>
        <v>0</v>
      </c>
      <c r="BJ291" s="146" t="s">
        <v>213</v>
      </c>
      <c r="BK291" s="241">
        <f t="shared" si="59"/>
        <v>0</v>
      </c>
      <c r="BL291" s="146" t="s">
        <v>93</v>
      </c>
      <c r="BM291" s="240" t="s">
        <v>2046</v>
      </c>
    </row>
    <row r="292" spans="2:65" s="152" customFormat="1" ht="16.5" customHeight="1" x14ac:dyDescent="0.25">
      <c r="B292" s="226"/>
      <c r="C292" s="227" t="s">
        <v>687</v>
      </c>
      <c r="D292" s="227" t="s">
        <v>1593</v>
      </c>
      <c r="E292" s="228" t="s">
        <v>2047</v>
      </c>
      <c r="F292" s="229" t="s">
        <v>2048</v>
      </c>
      <c r="G292" s="230" t="s">
        <v>1465</v>
      </c>
      <c r="H292" s="231">
        <v>20</v>
      </c>
      <c r="I292" s="232"/>
      <c r="J292" s="233">
        <f t="shared" si="50"/>
        <v>0</v>
      </c>
      <c r="K292" s="234"/>
      <c r="L292" s="235"/>
      <c r="M292" s="236" t="s">
        <v>4</v>
      </c>
      <c r="N292" s="237" t="s">
        <v>1539</v>
      </c>
      <c r="P292" s="238">
        <f t="shared" si="51"/>
        <v>0</v>
      </c>
      <c r="Q292" s="238">
        <v>0</v>
      </c>
      <c r="R292" s="238">
        <f t="shared" si="52"/>
        <v>0</v>
      </c>
      <c r="S292" s="238">
        <v>0</v>
      </c>
      <c r="T292" s="239">
        <f t="shared" si="53"/>
        <v>0</v>
      </c>
      <c r="AR292" s="240" t="s">
        <v>1018</v>
      </c>
      <c r="AT292" s="240" t="s">
        <v>1593</v>
      </c>
      <c r="AU292" s="240" t="s">
        <v>221</v>
      </c>
      <c r="AY292" s="146" t="s">
        <v>1590</v>
      </c>
      <c r="BE292" s="241">
        <f t="shared" si="54"/>
        <v>0</v>
      </c>
      <c r="BF292" s="241">
        <f t="shared" si="55"/>
        <v>0</v>
      </c>
      <c r="BG292" s="241">
        <f t="shared" si="56"/>
        <v>0</v>
      </c>
      <c r="BH292" s="241">
        <f t="shared" si="57"/>
        <v>0</v>
      </c>
      <c r="BI292" s="241">
        <f t="shared" si="58"/>
        <v>0</v>
      </c>
      <c r="BJ292" s="146" t="s">
        <v>213</v>
      </c>
      <c r="BK292" s="241">
        <f t="shared" si="59"/>
        <v>0</v>
      </c>
      <c r="BL292" s="146" t="s">
        <v>123</v>
      </c>
      <c r="BM292" s="240" t="s">
        <v>2049</v>
      </c>
    </row>
    <row r="293" spans="2:65" s="213" customFormat="1" ht="22.9" customHeight="1" x14ac:dyDescent="0.2">
      <c r="B293" s="214"/>
      <c r="D293" s="215" t="s">
        <v>1587</v>
      </c>
      <c r="E293" s="224" t="s">
        <v>2050</v>
      </c>
      <c r="F293" s="224" t="s">
        <v>2051</v>
      </c>
      <c r="I293" s="217"/>
      <c r="J293" s="225">
        <f>BK293</f>
        <v>0</v>
      </c>
      <c r="L293" s="214"/>
      <c r="M293" s="219"/>
      <c r="P293" s="220">
        <f>SUM(P294:P296)</f>
        <v>0</v>
      </c>
      <c r="R293" s="220">
        <f>SUM(R294:R296)</f>
        <v>0</v>
      </c>
      <c r="T293" s="221">
        <f>SUM(T294:T296)</f>
        <v>0</v>
      </c>
      <c r="AR293" s="215" t="s">
        <v>224</v>
      </c>
      <c r="AT293" s="222" t="s">
        <v>1587</v>
      </c>
      <c r="AU293" s="222" t="s">
        <v>213</v>
      </c>
      <c r="AY293" s="215" t="s">
        <v>1590</v>
      </c>
      <c r="BK293" s="223">
        <f>SUM(BK294:BK296)</f>
        <v>0</v>
      </c>
    </row>
    <row r="294" spans="2:65" s="152" customFormat="1" ht="24.2" customHeight="1" x14ac:dyDescent="0.25">
      <c r="B294" s="226"/>
      <c r="C294" s="242" t="s">
        <v>690</v>
      </c>
      <c r="D294" s="242" t="s">
        <v>1598</v>
      </c>
      <c r="E294" s="243" t="s">
        <v>2052</v>
      </c>
      <c r="F294" s="244" t="s">
        <v>2053</v>
      </c>
      <c r="G294" s="245" t="s">
        <v>309</v>
      </c>
      <c r="H294" s="246">
        <v>25</v>
      </c>
      <c r="I294" s="247"/>
      <c r="J294" s="248">
        <f>ROUND(I294*H294,2)</f>
        <v>0</v>
      </c>
      <c r="K294" s="249"/>
      <c r="L294" s="153"/>
      <c r="M294" s="250" t="s">
        <v>4</v>
      </c>
      <c r="N294" s="251" t="s">
        <v>1539</v>
      </c>
      <c r="P294" s="238">
        <f>O294*H294</f>
        <v>0</v>
      </c>
      <c r="Q294" s="238">
        <v>0</v>
      </c>
      <c r="R294" s="238">
        <f>Q294*H294</f>
        <v>0</v>
      </c>
      <c r="S294" s="238">
        <v>0</v>
      </c>
      <c r="T294" s="239">
        <f>S294*H294</f>
        <v>0</v>
      </c>
      <c r="AR294" s="240" t="s">
        <v>123</v>
      </c>
      <c r="AT294" s="240" t="s">
        <v>1598</v>
      </c>
      <c r="AU294" s="240" t="s">
        <v>221</v>
      </c>
      <c r="AY294" s="146" t="s">
        <v>1590</v>
      </c>
      <c r="BE294" s="241">
        <f>IF(N294="základní",J294,0)</f>
        <v>0</v>
      </c>
      <c r="BF294" s="241">
        <f>IF(N294="snížená",J294,0)</f>
        <v>0</v>
      </c>
      <c r="BG294" s="241">
        <f>IF(N294="zákl. přenesená",J294,0)</f>
        <v>0</v>
      </c>
      <c r="BH294" s="241">
        <f>IF(N294="sníž. přenesená",J294,0)</f>
        <v>0</v>
      </c>
      <c r="BI294" s="241">
        <f>IF(N294="nulová",J294,0)</f>
        <v>0</v>
      </c>
      <c r="BJ294" s="146" t="s">
        <v>213</v>
      </c>
      <c r="BK294" s="241">
        <f>ROUND(I294*H294,2)</f>
        <v>0</v>
      </c>
      <c r="BL294" s="146" t="s">
        <v>123</v>
      </c>
      <c r="BM294" s="240" t="s">
        <v>2054</v>
      </c>
    </row>
    <row r="295" spans="2:65" s="152" customFormat="1" ht="24.2" customHeight="1" x14ac:dyDescent="0.25">
      <c r="B295" s="226"/>
      <c r="C295" s="242" t="s">
        <v>693</v>
      </c>
      <c r="D295" s="242" t="s">
        <v>1598</v>
      </c>
      <c r="E295" s="243" t="s">
        <v>2055</v>
      </c>
      <c r="F295" s="244" t="s">
        <v>2056</v>
      </c>
      <c r="G295" s="245" t="s">
        <v>309</v>
      </c>
      <c r="H295" s="246">
        <v>30</v>
      </c>
      <c r="I295" s="247"/>
      <c r="J295" s="248">
        <f>ROUND(I295*H295,2)</f>
        <v>0</v>
      </c>
      <c r="K295" s="249"/>
      <c r="L295" s="153"/>
      <c r="M295" s="250" t="s">
        <v>4</v>
      </c>
      <c r="N295" s="251" t="s">
        <v>1539</v>
      </c>
      <c r="P295" s="238">
        <f>O295*H295</f>
        <v>0</v>
      </c>
      <c r="Q295" s="238">
        <v>0</v>
      </c>
      <c r="R295" s="238">
        <f>Q295*H295</f>
        <v>0</v>
      </c>
      <c r="S295" s="238">
        <v>0</v>
      </c>
      <c r="T295" s="239">
        <f>S295*H295</f>
        <v>0</v>
      </c>
      <c r="AR295" s="240" t="s">
        <v>123</v>
      </c>
      <c r="AT295" s="240" t="s">
        <v>1598</v>
      </c>
      <c r="AU295" s="240" t="s">
        <v>221</v>
      </c>
      <c r="AY295" s="146" t="s">
        <v>1590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46" t="s">
        <v>213</v>
      </c>
      <c r="BK295" s="241">
        <f>ROUND(I295*H295,2)</f>
        <v>0</v>
      </c>
      <c r="BL295" s="146" t="s">
        <v>123</v>
      </c>
      <c r="BM295" s="240" t="s">
        <v>2057</v>
      </c>
    </row>
    <row r="296" spans="2:65" s="152" customFormat="1" ht="24.2" customHeight="1" x14ac:dyDescent="0.25">
      <c r="B296" s="226"/>
      <c r="C296" s="242" t="s">
        <v>696</v>
      </c>
      <c r="D296" s="242" t="s">
        <v>1598</v>
      </c>
      <c r="E296" s="243" t="s">
        <v>2058</v>
      </c>
      <c r="F296" s="244" t="s">
        <v>2059</v>
      </c>
      <c r="G296" s="245" t="s">
        <v>309</v>
      </c>
      <c r="H296" s="246">
        <v>15</v>
      </c>
      <c r="I296" s="247"/>
      <c r="J296" s="248">
        <f>ROUND(I296*H296,2)</f>
        <v>0</v>
      </c>
      <c r="K296" s="249"/>
      <c r="L296" s="153"/>
      <c r="M296" s="250" t="s">
        <v>4</v>
      </c>
      <c r="N296" s="251" t="s">
        <v>1539</v>
      </c>
      <c r="P296" s="238">
        <f>O296*H296</f>
        <v>0</v>
      </c>
      <c r="Q296" s="238">
        <v>0</v>
      </c>
      <c r="R296" s="238">
        <f>Q296*H296</f>
        <v>0</v>
      </c>
      <c r="S296" s="238">
        <v>0</v>
      </c>
      <c r="T296" s="239">
        <f>S296*H296</f>
        <v>0</v>
      </c>
      <c r="AR296" s="240" t="s">
        <v>123</v>
      </c>
      <c r="AT296" s="240" t="s">
        <v>1598</v>
      </c>
      <c r="AU296" s="240" t="s">
        <v>221</v>
      </c>
      <c r="AY296" s="146" t="s">
        <v>1590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46" t="s">
        <v>213</v>
      </c>
      <c r="BK296" s="241">
        <f>ROUND(I296*H296,2)</f>
        <v>0</v>
      </c>
      <c r="BL296" s="146" t="s">
        <v>123</v>
      </c>
      <c r="BM296" s="240" t="s">
        <v>2060</v>
      </c>
    </row>
    <row r="297" spans="2:65" s="213" customFormat="1" ht="22.9" customHeight="1" x14ac:dyDescent="0.2">
      <c r="B297" s="214"/>
      <c r="D297" s="215" t="s">
        <v>1587</v>
      </c>
      <c r="E297" s="224" t="s">
        <v>2061</v>
      </c>
      <c r="F297" s="224" t="s">
        <v>2062</v>
      </c>
      <c r="I297" s="217"/>
      <c r="J297" s="225">
        <f>BK297</f>
        <v>0</v>
      </c>
      <c r="L297" s="214"/>
      <c r="M297" s="219"/>
      <c r="P297" s="220">
        <f>SUM(P298:P307)</f>
        <v>0</v>
      </c>
      <c r="R297" s="220">
        <f>SUM(R298:R307)</f>
        <v>4.9120000000000001E-4</v>
      </c>
      <c r="T297" s="221">
        <f>SUM(T298:T307)</f>
        <v>0</v>
      </c>
      <c r="AR297" s="215" t="s">
        <v>224</v>
      </c>
      <c r="AT297" s="222" t="s">
        <v>1587</v>
      </c>
      <c r="AU297" s="222" t="s">
        <v>213</v>
      </c>
      <c r="AY297" s="215" t="s">
        <v>1590</v>
      </c>
      <c r="BK297" s="223">
        <f>SUM(BK298:BK307)</f>
        <v>0</v>
      </c>
    </row>
    <row r="298" spans="2:65" s="152" customFormat="1" ht="16.5" customHeight="1" x14ac:dyDescent="0.25">
      <c r="B298" s="226"/>
      <c r="C298" s="242" t="s">
        <v>699</v>
      </c>
      <c r="D298" s="242" t="s">
        <v>1598</v>
      </c>
      <c r="E298" s="243" t="s">
        <v>2063</v>
      </c>
      <c r="F298" s="244" t="s">
        <v>2064</v>
      </c>
      <c r="G298" s="245" t="s">
        <v>266</v>
      </c>
      <c r="H298" s="246">
        <v>1</v>
      </c>
      <c r="I298" s="247"/>
      <c r="J298" s="248">
        <f t="shared" ref="J298:J307" si="60">ROUND(I298*H298,2)</f>
        <v>0</v>
      </c>
      <c r="K298" s="249"/>
      <c r="L298" s="153"/>
      <c r="M298" s="250" t="s">
        <v>4</v>
      </c>
      <c r="N298" s="251" t="s">
        <v>1539</v>
      </c>
      <c r="P298" s="238">
        <f t="shared" ref="P298:P307" si="61">O298*H298</f>
        <v>0</v>
      </c>
      <c r="Q298" s="238">
        <v>0</v>
      </c>
      <c r="R298" s="238">
        <f t="shared" ref="R298:R307" si="62">Q298*H298</f>
        <v>0</v>
      </c>
      <c r="S298" s="238">
        <v>0</v>
      </c>
      <c r="T298" s="239">
        <f t="shared" ref="T298:T307" si="63">S298*H298</f>
        <v>0</v>
      </c>
      <c r="AR298" s="240" t="s">
        <v>123</v>
      </c>
      <c r="AT298" s="240" t="s">
        <v>1598</v>
      </c>
      <c r="AU298" s="240" t="s">
        <v>221</v>
      </c>
      <c r="AY298" s="146" t="s">
        <v>1590</v>
      </c>
      <c r="BE298" s="241">
        <f t="shared" ref="BE298:BE307" si="64">IF(N298="základní",J298,0)</f>
        <v>0</v>
      </c>
      <c r="BF298" s="241">
        <f t="shared" ref="BF298:BF307" si="65">IF(N298="snížená",J298,0)</f>
        <v>0</v>
      </c>
      <c r="BG298" s="241">
        <f t="shared" ref="BG298:BG307" si="66">IF(N298="zákl. přenesená",J298,0)</f>
        <v>0</v>
      </c>
      <c r="BH298" s="241">
        <f t="shared" ref="BH298:BH307" si="67">IF(N298="sníž. přenesená",J298,0)</f>
        <v>0</v>
      </c>
      <c r="BI298" s="241">
        <f t="shared" ref="BI298:BI307" si="68">IF(N298="nulová",J298,0)</f>
        <v>0</v>
      </c>
      <c r="BJ298" s="146" t="s">
        <v>213</v>
      </c>
      <c r="BK298" s="241">
        <f t="shared" ref="BK298:BK307" si="69">ROUND(I298*H298,2)</f>
        <v>0</v>
      </c>
      <c r="BL298" s="146" t="s">
        <v>123</v>
      </c>
      <c r="BM298" s="240" t="s">
        <v>2065</v>
      </c>
    </row>
    <row r="299" spans="2:65" s="152" customFormat="1" ht="24.2" customHeight="1" x14ac:dyDescent="0.25">
      <c r="B299" s="226"/>
      <c r="C299" s="227" t="s">
        <v>702</v>
      </c>
      <c r="D299" s="227" t="s">
        <v>1593</v>
      </c>
      <c r="E299" s="228" t="s">
        <v>2066</v>
      </c>
      <c r="F299" s="229" t="s">
        <v>2067</v>
      </c>
      <c r="G299" s="230" t="s">
        <v>2068</v>
      </c>
      <c r="H299" s="231">
        <v>12</v>
      </c>
      <c r="I299" s="232"/>
      <c r="J299" s="233">
        <f t="shared" si="60"/>
        <v>0</v>
      </c>
      <c r="K299" s="234"/>
      <c r="L299" s="235"/>
      <c r="M299" s="236" t="s">
        <v>4</v>
      </c>
      <c r="N299" s="237" t="s">
        <v>1539</v>
      </c>
      <c r="P299" s="238">
        <f t="shared" si="61"/>
        <v>0</v>
      </c>
      <c r="Q299" s="238">
        <v>0</v>
      </c>
      <c r="R299" s="238">
        <f t="shared" si="62"/>
        <v>0</v>
      </c>
      <c r="S299" s="238">
        <v>0</v>
      </c>
      <c r="T299" s="239">
        <f t="shared" si="63"/>
        <v>0</v>
      </c>
      <c r="AR299" s="240" t="s">
        <v>1018</v>
      </c>
      <c r="AT299" s="240" t="s">
        <v>1593</v>
      </c>
      <c r="AU299" s="240" t="s">
        <v>221</v>
      </c>
      <c r="AY299" s="146" t="s">
        <v>1590</v>
      </c>
      <c r="BE299" s="241">
        <f t="shared" si="64"/>
        <v>0</v>
      </c>
      <c r="BF299" s="241">
        <f t="shared" si="65"/>
        <v>0</v>
      </c>
      <c r="BG299" s="241">
        <f t="shared" si="66"/>
        <v>0</v>
      </c>
      <c r="BH299" s="241">
        <f t="shared" si="67"/>
        <v>0</v>
      </c>
      <c r="BI299" s="241">
        <f t="shared" si="68"/>
        <v>0</v>
      </c>
      <c r="BJ299" s="146" t="s">
        <v>213</v>
      </c>
      <c r="BK299" s="241">
        <f t="shared" si="69"/>
        <v>0</v>
      </c>
      <c r="BL299" s="146" t="s">
        <v>123</v>
      </c>
      <c r="BM299" s="240" t="s">
        <v>2069</v>
      </c>
    </row>
    <row r="300" spans="2:65" s="152" customFormat="1" ht="33" customHeight="1" x14ac:dyDescent="0.25">
      <c r="B300" s="226"/>
      <c r="C300" s="242" t="s">
        <v>705</v>
      </c>
      <c r="D300" s="242" t="s">
        <v>1598</v>
      </c>
      <c r="E300" s="243" t="s">
        <v>2070</v>
      </c>
      <c r="F300" s="244" t="s">
        <v>2071</v>
      </c>
      <c r="G300" s="245" t="s">
        <v>313</v>
      </c>
      <c r="H300" s="246">
        <v>140</v>
      </c>
      <c r="I300" s="247"/>
      <c r="J300" s="248">
        <f t="shared" si="60"/>
        <v>0</v>
      </c>
      <c r="K300" s="249"/>
      <c r="L300" s="153"/>
      <c r="M300" s="250" t="s">
        <v>4</v>
      </c>
      <c r="N300" s="251" t="s">
        <v>1539</v>
      </c>
      <c r="P300" s="238">
        <f t="shared" si="61"/>
        <v>0</v>
      </c>
      <c r="Q300" s="238">
        <v>0</v>
      </c>
      <c r="R300" s="238">
        <f t="shared" si="62"/>
        <v>0</v>
      </c>
      <c r="S300" s="238">
        <v>0</v>
      </c>
      <c r="T300" s="239">
        <f t="shared" si="63"/>
        <v>0</v>
      </c>
      <c r="AR300" s="240" t="s">
        <v>123</v>
      </c>
      <c r="AT300" s="240" t="s">
        <v>1598</v>
      </c>
      <c r="AU300" s="240" t="s">
        <v>221</v>
      </c>
      <c r="AY300" s="146" t="s">
        <v>1590</v>
      </c>
      <c r="BE300" s="241">
        <f t="shared" si="64"/>
        <v>0</v>
      </c>
      <c r="BF300" s="241">
        <f t="shared" si="65"/>
        <v>0</v>
      </c>
      <c r="BG300" s="241">
        <f t="shared" si="66"/>
        <v>0</v>
      </c>
      <c r="BH300" s="241">
        <f t="shared" si="67"/>
        <v>0</v>
      </c>
      <c r="BI300" s="241">
        <f t="shared" si="68"/>
        <v>0</v>
      </c>
      <c r="BJ300" s="146" t="s">
        <v>213</v>
      </c>
      <c r="BK300" s="241">
        <f t="shared" si="69"/>
        <v>0</v>
      </c>
      <c r="BL300" s="146" t="s">
        <v>123</v>
      </c>
      <c r="BM300" s="240" t="s">
        <v>2072</v>
      </c>
    </row>
    <row r="301" spans="2:65" s="152" customFormat="1" ht="33" customHeight="1" x14ac:dyDescent="0.25">
      <c r="B301" s="226"/>
      <c r="C301" s="242" t="s">
        <v>708</v>
      </c>
      <c r="D301" s="242" t="s">
        <v>1598</v>
      </c>
      <c r="E301" s="243" t="s">
        <v>2073</v>
      </c>
      <c r="F301" s="244" t="s">
        <v>2074</v>
      </c>
      <c r="G301" s="245" t="s">
        <v>313</v>
      </c>
      <c r="H301" s="246">
        <v>60</v>
      </c>
      <c r="I301" s="247"/>
      <c r="J301" s="248">
        <f t="shared" si="60"/>
        <v>0</v>
      </c>
      <c r="K301" s="249"/>
      <c r="L301" s="153"/>
      <c r="M301" s="250" t="s">
        <v>4</v>
      </c>
      <c r="N301" s="251" t="s">
        <v>1539</v>
      </c>
      <c r="P301" s="238">
        <f t="shared" si="61"/>
        <v>0</v>
      </c>
      <c r="Q301" s="238">
        <v>0</v>
      </c>
      <c r="R301" s="238">
        <f t="shared" si="62"/>
        <v>0</v>
      </c>
      <c r="S301" s="238">
        <v>0</v>
      </c>
      <c r="T301" s="239">
        <f t="shared" si="63"/>
        <v>0</v>
      </c>
      <c r="AR301" s="240" t="s">
        <v>123</v>
      </c>
      <c r="AT301" s="240" t="s">
        <v>1598</v>
      </c>
      <c r="AU301" s="240" t="s">
        <v>221</v>
      </c>
      <c r="AY301" s="146" t="s">
        <v>1590</v>
      </c>
      <c r="BE301" s="241">
        <f t="shared" si="64"/>
        <v>0</v>
      </c>
      <c r="BF301" s="241">
        <f t="shared" si="65"/>
        <v>0</v>
      </c>
      <c r="BG301" s="241">
        <f t="shared" si="66"/>
        <v>0</v>
      </c>
      <c r="BH301" s="241">
        <f t="shared" si="67"/>
        <v>0</v>
      </c>
      <c r="BI301" s="241">
        <f t="shared" si="68"/>
        <v>0</v>
      </c>
      <c r="BJ301" s="146" t="s">
        <v>213</v>
      </c>
      <c r="BK301" s="241">
        <f t="shared" si="69"/>
        <v>0</v>
      </c>
      <c r="BL301" s="146" t="s">
        <v>123</v>
      </c>
      <c r="BM301" s="240" t="s">
        <v>2075</v>
      </c>
    </row>
    <row r="302" spans="2:65" s="152" customFormat="1" ht="33" customHeight="1" x14ac:dyDescent="0.25">
      <c r="B302" s="226"/>
      <c r="C302" s="242" t="s">
        <v>711</v>
      </c>
      <c r="D302" s="242" t="s">
        <v>1598</v>
      </c>
      <c r="E302" s="243" t="s">
        <v>2076</v>
      </c>
      <c r="F302" s="244" t="s">
        <v>2077</v>
      </c>
      <c r="G302" s="245" t="s">
        <v>313</v>
      </c>
      <c r="H302" s="246">
        <v>50</v>
      </c>
      <c r="I302" s="247"/>
      <c r="J302" s="248">
        <f t="shared" si="60"/>
        <v>0</v>
      </c>
      <c r="K302" s="249"/>
      <c r="L302" s="153"/>
      <c r="M302" s="250" t="s">
        <v>4</v>
      </c>
      <c r="N302" s="251" t="s">
        <v>1539</v>
      </c>
      <c r="P302" s="238">
        <f t="shared" si="61"/>
        <v>0</v>
      </c>
      <c r="Q302" s="238">
        <v>0</v>
      </c>
      <c r="R302" s="238">
        <f t="shared" si="62"/>
        <v>0</v>
      </c>
      <c r="S302" s="238">
        <v>0</v>
      </c>
      <c r="T302" s="239">
        <f t="shared" si="63"/>
        <v>0</v>
      </c>
      <c r="AR302" s="240" t="s">
        <v>123</v>
      </c>
      <c r="AT302" s="240" t="s">
        <v>1598</v>
      </c>
      <c r="AU302" s="240" t="s">
        <v>221</v>
      </c>
      <c r="AY302" s="146" t="s">
        <v>1590</v>
      </c>
      <c r="BE302" s="241">
        <f t="shared" si="64"/>
        <v>0</v>
      </c>
      <c r="BF302" s="241">
        <f t="shared" si="65"/>
        <v>0</v>
      </c>
      <c r="BG302" s="241">
        <f t="shared" si="66"/>
        <v>0</v>
      </c>
      <c r="BH302" s="241">
        <f t="shared" si="67"/>
        <v>0</v>
      </c>
      <c r="BI302" s="241">
        <f t="shared" si="68"/>
        <v>0</v>
      </c>
      <c r="BJ302" s="146" t="s">
        <v>213</v>
      </c>
      <c r="BK302" s="241">
        <f t="shared" si="69"/>
        <v>0</v>
      </c>
      <c r="BL302" s="146" t="s">
        <v>123</v>
      </c>
      <c r="BM302" s="240" t="s">
        <v>2078</v>
      </c>
    </row>
    <row r="303" spans="2:65" s="152" customFormat="1" ht="33" customHeight="1" x14ac:dyDescent="0.25">
      <c r="B303" s="226"/>
      <c r="C303" s="242" t="s">
        <v>714</v>
      </c>
      <c r="D303" s="242" t="s">
        <v>1598</v>
      </c>
      <c r="E303" s="243" t="s">
        <v>2079</v>
      </c>
      <c r="F303" s="244" t="s">
        <v>2080</v>
      </c>
      <c r="G303" s="245" t="s">
        <v>313</v>
      </c>
      <c r="H303" s="246">
        <v>45</v>
      </c>
      <c r="I303" s="247"/>
      <c r="J303" s="248">
        <f t="shared" si="60"/>
        <v>0</v>
      </c>
      <c r="K303" s="249"/>
      <c r="L303" s="153"/>
      <c r="M303" s="250" t="s">
        <v>4</v>
      </c>
      <c r="N303" s="251" t="s">
        <v>1539</v>
      </c>
      <c r="P303" s="238">
        <f t="shared" si="61"/>
        <v>0</v>
      </c>
      <c r="Q303" s="238">
        <v>0</v>
      </c>
      <c r="R303" s="238">
        <f t="shared" si="62"/>
        <v>0</v>
      </c>
      <c r="S303" s="238">
        <v>0</v>
      </c>
      <c r="T303" s="239">
        <f t="shared" si="63"/>
        <v>0</v>
      </c>
      <c r="AR303" s="240" t="s">
        <v>123</v>
      </c>
      <c r="AT303" s="240" t="s">
        <v>1598</v>
      </c>
      <c r="AU303" s="240" t="s">
        <v>221</v>
      </c>
      <c r="AY303" s="146" t="s">
        <v>1590</v>
      </c>
      <c r="BE303" s="241">
        <f t="shared" si="64"/>
        <v>0</v>
      </c>
      <c r="BF303" s="241">
        <f t="shared" si="65"/>
        <v>0</v>
      </c>
      <c r="BG303" s="241">
        <f t="shared" si="66"/>
        <v>0</v>
      </c>
      <c r="BH303" s="241">
        <f t="shared" si="67"/>
        <v>0</v>
      </c>
      <c r="BI303" s="241">
        <f t="shared" si="68"/>
        <v>0</v>
      </c>
      <c r="BJ303" s="146" t="s">
        <v>213</v>
      </c>
      <c r="BK303" s="241">
        <f t="shared" si="69"/>
        <v>0</v>
      </c>
      <c r="BL303" s="146" t="s">
        <v>123</v>
      </c>
      <c r="BM303" s="240" t="s">
        <v>2081</v>
      </c>
    </row>
    <row r="304" spans="2:65" s="152" customFormat="1" ht="24.2" customHeight="1" x14ac:dyDescent="0.25">
      <c r="B304" s="226"/>
      <c r="C304" s="242" t="s">
        <v>717</v>
      </c>
      <c r="D304" s="242" t="s">
        <v>1598</v>
      </c>
      <c r="E304" s="243" t="s">
        <v>2082</v>
      </c>
      <c r="F304" s="244" t="s">
        <v>2083</v>
      </c>
      <c r="G304" s="245" t="s">
        <v>309</v>
      </c>
      <c r="H304" s="246">
        <v>180</v>
      </c>
      <c r="I304" s="247"/>
      <c r="J304" s="248">
        <f t="shared" si="60"/>
        <v>0</v>
      </c>
      <c r="K304" s="249"/>
      <c r="L304" s="153"/>
      <c r="M304" s="250" t="s">
        <v>4</v>
      </c>
      <c r="N304" s="251" t="s">
        <v>1539</v>
      </c>
      <c r="P304" s="238">
        <f t="shared" si="61"/>
        <v>0</v>
      </c>
      <c r="Q304" s="238">
        <v>0</v>
      </c>
      <c r="R304" s="238">
        <f t="shared" si="62"/>
        <v>0</v>
      </c>
      <c r="S304" s="238">
        <v>0</v>
      </c>
      <c r="T304" s="239">
        <f t="shared" si="63"/>
        <v>0</v>
      </c>
      <c r="AR304" s="240" t="s">
        <v>123</v>
      </c>
      <c r="AT304" s="240" t="s">
        <v>1598</v>
      </c>
      <c r="AU304" s="240" t="s">
        <v>221</v>
      </c>
      <c r="AY304" s="146" t="s">
        <v>1590</v>
      </c>
      <c r="BE304" s="241">
        <f t="shared" si="64"/>
        <v>0</v>
      </c>
      <c r="BF304" s="241">
        <f t="shared" si="65"/>
        <v>0</v>
      </c>
      <c r="BG304" s="241">
        <f t="shared" si="66"/>
        <v>0</v>
      </c>
      <c r="BH304" s="241">
        <f t="shared" si="67"/>
        <v>0</v>
      </c>
      <c r="BI304" s="241">
        <f t="shared" si="68"/>
        <v>0</v>
      </c>
      <c r="BJ304" s="146" t="s">
        <v>213</v>
      </c>
      <c r="BK304" s="241">
        <f t="shared" si="69"/>
        <v>0</v>
      </c>
      <c r="BL304" s="146" t="s">
        <v>123</v>
      </c>
      <c r="BM304" s="240" t="s">
        <v>2084</v>
      </c>
    </row>
    <row r="305" spans="2:65" s="152" customFormat="1" ht="16.5" customHeight="1" x14ac:dyDescent="0.25">
      <c r="B305" s="226"/>
      <c r="C305" s="227" t="s">
        <v>720</v>
      </c>
      <c r="D305" s="227" t="s">
        <v>1593</v>
      </c>
      <c r="E305" s="228" t="s">
        <v>2085</v>
      </c>
      <c r="F305" s="229" t="s">
        <v>2086</v>
      </c>
      <c r="G305" s="230" t="s">
        <v>2087</v>
      </c>
      <c r="H305" s="231">
        <v>0.18</v>
      </c>
      <c r="I305" s="232"/>
      <c r="J305" s="233">
        <f t="shared" si="60"/>
        <v>0</v>
      </c>
      <c r="K305" s="234"/>
      <c r="L305" s="235"/>
      <c r="M305" s="236" t="s">
        <v>4</v>
      </c>
      <c r="N305" s="237" t="s">
        <v>1539</v>
      </c>
      <c r="P305" s="238">
        <f t="shared" si="61"/>
        <v>0</v>
      </c>
      <c r="Q305" s="238">
        <v>1.6000000000000001E-3</v>
      </c>
      <c r="R305" s="238">
        <f t="shared" si="62"/>
        <v>2.8800000000000001E-4</v>
      </c>
      <c r="S305" s="238">
        <v>0</v>
      </c>
      <c r="T305" s="239">
        <f t="shared" si="63"/>
        <v>0</v>
      </c>
      <c r="AR305" s="240" t="s">
        <v>615</v>
      </c>
      <c r="AT305" s="240" t="s">
        <v>1593</v>
      </c>
      <c r="AU305" s="240" t="s">
        <v>221</v>
      </c>
      <c r="AY305" s="146" t="s">
        <v>1590</v>
      </c>
      <c r="BE305" s="241">
        <f t="shared" si="64"/>
        <v>0</v>
      </c>
      <c r="BF305" s="241">
        <f t="shared" si="65"/>
        <v>0</v>
      </c>
      <c r="BG305" s="241">
        <f t="shared" si="66"/>
        <v>0</v>
      </c>
      <c r="BH305" s="241">
        <f t="shared" si="67"/>
        <v>0</v>
      </c>
      <c r="BI305" s="241">
        <f t="shared" si="68"/>
        <v>0</v>
      </c>
      <c r="BJ305" s="146" t="s">
        <v>213</v>
      </c>
      <c r="BK305" s="241">
        <f t="shared" si="69"/>
        <v>0</v>
      </c>
      <c r="BL305" s="146" t="s">
        <v>615</v>
      </c>
      <c r="BM305" s="240" t="s">
        <v>2088</v>
      </c>
    </row>
    <row r="306" spans="2:65" s="152" customFormat="1" ht="24.2" customHeight="1" x14ac:dyDescent="0.25">
      <c r="B306" s="226"/>
      <c r="C306" s="242" t="s">
        <v>723</v>
      </c>
      <c r="D306" s="242" t="s">
        <v>1598</v>
      </c>
      <c r="E306" s="243" t="s">
        <v>2089</v>
      </c>
      <c r="F306" s="244" t="s">
        <v>2090</v>
      </c>
      <c r="G306" s="245" t="s">
        <v>309</v>
      </c>
      <c r="H306" s="246">
        <v>16</v>
      </c>
      <c r="I306" s="247"/>
      <c r="J306" s="248">
        <f t="shared" si="60"/>
        <v>0</v>
      </c>
      <c r="K306" s="249"/>
      <c r="L306" s="153"/>
      <c r="M306" s="250" t="s">
        <v>4</v>
      </c>
      <c r="N306" s="251" t="s">
        <v>1539</v>
      </c>
      <c r="P306" s="238">
        <f t="shared" si="61"/>
        <v>0</v>
      </c>
      <c r="Q306" s="238">
        <v>1.0000000000000001E-5</v>
      </c>
      <c r="R306" s="238">
        <f t="shared" si="62"/>
        <v>1.6000000000000001E-4</v>
      </c>
      <c r="S306" s="238">
        <v>0</v>
      </c>
      <c r="T306" s="239">
        <f t="shared" si="63"/>
        <v>0</v>
      </c>
      <c r="AR306" s="240" t="s">
        <v>123</v>
      </c>
      <c r="AT306" s="240" t="s">
        <v>1598</v>
      </c>
      <c r="AU306" s="240" t="s">
        <v>221</v>
      </c>
      <c r="AY306" s="146" t="s">
        <v>1590</v>
      </c>
      <c r="BE306" s="241">
        <f t="shared" si="64"/>
        <v>0</v>
      </c>
      <c r="BF306" s="241">
        <f t="shared" si="65"/>
        <v>0</v>
      </c>
      <c r="BG306" s="241">
        <f t="shared" si="66"/>
        <v>0</v>
      </c>
      <c r="BH306" s="241">
        <f t="shared" si="67"/>
        <v>0</v>
      </c>
      <c r="BI306" s="241">
        <f t="shared" si="68"/>
        <v>0</v>
      </c>
      <c r="BJ306" s="146" t="s">
        <v>213</v>
      </c>
      <c r="BK306" s="241">
        <f t="shared" si="69"/>
        <v>0</v>
      </c>
      <c r="BL306" s="146" t="s">
        <v>123</v>
      </c>
      <c r="BM306" s="240" t="s">
        <v>2091</v>
      </c>
    </row>
    <row r="307" spans="2:65" s="152" customFormat="1" ht="16.5" customHeight="1" x14ac:dyDescent="0.25">
      <c r="B307" s="226"/>
      <c r="C307" s="227" t="s">
        <v>727</v>
      </c>
      <c r="D307" s="227" t="s">
        <v>1593</v>
      </c>
      <c r="E307" s="228" t="s">
        <v>2092</v>
      </c>
      <c r="F307" s="229" t="s">
        <v>2093</v>
      </c>
      <c r="G307" s="230" t="s">
        <v>2087</v>
      </c>
      <c r="H307" s="231">
        <v>1.6E-2</v>
      </c>
      <c r="I307" s="232"/>
      <c r="J307" s="233">
        <f t="shared" si="60"/>
        <v>0</v>
      </c>
      <c r="K307" s="234"/>
      <c r="L307" s="235"/>
      <c r="M307" s="236" t="s">
        <v>4</v>
      </c>
      <c r="N307" s="237" t="s">
        <v>1539</v>
      </c>
      <c r="P307" s="238">
        <f t="shared" si="61"/>
        <v>0</v>
      </c>
      <c r="Q307" s="238">
        <v>2.7000000000000001E-3</v>
      </c>
      <c r="R307" s="238">
        <f t="shared" si="62"/>
        <v>4.3200000000000007E-5</v>
      </c>
      <c r="S307" s="238">
        <v>0</v>
      </c>
      <c r="T307" s="239">
        <f t="shared" si="63"/>
        <v>0</v>
      </c>
      <c r="AR307" s="240" t="s">
        <v>615</v>
      </c>
      <c r="AT307" s="240" t="s">
        <v>1593</v>
      </c>
      <c r="AU307" s="240" t="s">
        <v>221</v>
      </c>
      <c r="AY307" s="146" t="s">
        <v>1590</v>
      </c>
      <c r="BE307" s="241">
        <f t="shared" si="64"/>
        <v>0</v>
      </c>
      <c r="BF307" s="241">
        <f t="shared" si="65"/>
        <v>0</v>
      </c>
      <c r="BG307" s="241">
        <f t="shared" si="66"/>
        <v>0</v>
      </c>
      <c r="BH307" s="241">
        <f t="shared" si="67"/>
        <v>0</v>
      </c>
      <c r="BI307" s="241">
        <f t="shared" si="68"/>
        <v>0</v>
      </c>
      <c r="BJ307" s="146" t="s">
        <v>213</v>
      </c>
      <c r="BK307" s="241">
        <f t="shared" si="69"/>
        <v>0</v>
      </c>
      <c r="BL307" s="146" t="s">
        <v>615</v>
      </c>
      <c r="BM307" s="240" t="s">
        <v>2094</v>
      </c>
    </row>
    <row r="308" spans="2:65" s="213" customFormat="1" ht="25.9" customHeight="1" x14ac:dyDescent="0.2">
      <c r="B308" s="214"/>
      <c r="D308" s="215" t="s">
        <v>1587</v>
      </c>
      <c r="E308" s="216" t="s">
        <v>2095</v>
      </c>
      <c r="F308" s="216" t="s">
        <v>2096</v>
      </c>
      <c r="I308" s="217"/>
      <c r="J308" s="218">
        <f>BK308</f>
        <v>0</v>
      </c>
      <c r="L308" s="214"/>
      <c r="M308" s="219"/>
      <c r="P308" s="220">
        <f>P309+P311+P313</f>
        <v>0</v>
      </c>
      <c r="R308" s="220">
        <f>R309+R311+R313</f>
        <v>0</v>
      </c>
      <c r="T308" s="221">
        <f>T309+T311+T313</f>
        <v>0</v>
      </c>
      <c r="AR308" s="215" t="s">
        <v>231</v>
      </c>
      <c r="AT308" s="222" t="s">
        <v>1587</v>
      </c>
      <c r="AU308" s="222" t="s">
        <v>1589</v>
      </c>
      <c r="AY308" s="215" t="s">
        <v>1590</v>
      </c>
      <c r="BK308" s="223">
        <f>BK309+BK311+BK313</f>
        <v>0</v>
      </c>
    </row>
    <row r="309" spans="2:65" s="213" customFormat="1" ht="22.9" customHeight="1" x14ac:dyDescent="0.2">
      <c r="B309" s="214"/>
      <c r="D309" s="215" t="s">
        <v>1587</v>
      </c>
      <c r="E309" s="224" t="s">
        <v>2097</v>
      </c>
      <c r="F309" s="224" t="s">
        <v>2098</v>
      </c>
      <c r="I309" s="217"/>
      <c r="J309" s="225">
        <f>BK309</f>
        <v>0</v>
      </c>
      <c r="L309" s="214"/>
      <c r="M309" s="219"/>
      <c r="P309" s="220">
        <f>P310</f>
        <v>0</v>
      </c>
      <c r="R309" s="220">
        <f>R310</f>
        <v>0</v>
      </c>
      <c r="T309" s="221">
        <f>T310</f>
        <v>0</v>
      </c>
      <c r="AR309" s="215" t="s">
        <v>231</v>
      </c>
      <c r="AT309" s="222" t="s">
        <v>1587</v>
      </c>
      <c r="AU309" s="222" t="s">
        <v>213</v>
      </c>
      <c r="AY309" s="215" t="s">
        <v>1590</v>
      </c>
      <c r="BK309" s="223">
        <f>BK310</f>
        <v>0</v>
      </c>
    </row>
    <row r="310" spans="2:65" s="152" customFormat="1" ht="16.5" customHeight="1" x14ac:dyDescent="0.25">
      <c r="B310" s="226"/>
      <c r="C310" s="242" t="s">
        <v>730</v>
      </c>
      <c r="D310" s="242" t="s">
        <v>1598</v>
      </c>
      <c r="E310" s="243" t="s">
        <v>2099</v>
      </c>
      <c r="F310" s="244" t="s">
        <v>2100</v>
      </c>
      <c r="G310" s="245" t="s">
        <v>1465</v>
      </c>
      <c r="H310" s="246">
        <v>1</v>
      </c>
      <c r="I310" s="247"/>
      <c r="J310" s="248">
        <f>ROUND(I310*H310,2)</f>
        <v>0</v>
      </c>
      <c r="K310" s="249"/>
      <c r="L310" s="153"/>
      <c r="M310" s="250" t="s">
        <v>4</v>
      </c>
      <c r="N310" s="251" t="s">
        <v>1539</v>
      </c>
      <c r="P310" s="238">
        <f>O310*H310</f>
        <v>0</v>
      </c>
      <c r="Q310" s="238">
        <v>0</v>
      </c>
      <c r="R310" s="238">
        <f>Q310*H310</f>
        <v>0</v>
      </c>
      <c r="S310" s="238">
        <v>0</v>
      </c>
      <c r="T310" s="239">
        <f>S310*H310</f>
        <v>0</v>
      </c>
      <c r="AR310" s="240" t="s">
        <v>2101</v>
      </c>
      <c r="AT310" s="240" t="s">
        <v>1598</v>
      </c>
      <c r="AU310" s="240" t="s">
        <v>221</v>
      </c>
      <c r="AY310" s="146" t="s">
        <v>1590</v>
      </c>
      <c r="BE310" s="241">
        <f>IF(N310="základní",J310,0)</f>
        <v>0</v>
      </c>
      <c r="BF310" s="241">
        <f>IF(N310="snížená",J310,0)</f>
        <v>0</v>
      </c>
      <c r="BG310" s="241">
        <f>IF(N310="zákl. přenesená",J310,0)</f>
        <v>0</v>
      </c>
      <c r="BH310" s="241">
        <f>IF(N310="sníž. přenesená",J310,0)</f>
        <v>0</v>
      </c>
      <c r="BI310" s="241">
        <f>IF(N310="nulová",J310,0)</f>
        <v>0</v>
      </c>
      <c r="BJ310" s="146" t="s">
        <v>213</v>
      </c>
      <c r="BK310" s="241">
        <f>ROUND(I310*H310,2)</f>
        <v>0</v>
      </c>
      <c r="BL310" s="146" t="s">
        <v>2101</v>
      </c>
      <c r="BM310" s="240" t="s">
        <v>2102</v>
      </c>
    </row>
    <row r="311" spans="2:65" s="213" customFormat="1" ht="22.9" customHeight="1" x14ac:dyDescent="0.2">
      <c r="B311" s="214"/>
      <c r="D311" s="215" t="s">
        <v>1587</v>
      </c>
      <c r="E311" s="224" t="s">
        <v>2103</v>
      </c>
      <c r="F311" s="224" t="s">
        <v>26</v>
      </c>
      <c r="I311" s="217"/>
      <c r="J311" s="225">
        <f>BK311</f>
        <v>0</v>
      </c>
      <c r="L311" s="214"/>
      <c r="M311" s="219"/>
      <c r="P311" s="220">
        <f>P312</f>
        <v>0</v>
      </c>
      <c r="R311" s="220">
        <f>R312</f>
        <v>0</v>
      </c>
      <c r="T311" s="221">
        <f>T312</f>
        <v>0</v>
      </c>
      <c r="AR311" s="215" t="s">
        <v>231</v>
      </c>
      <c r="AT311" s="222" t="s">
        <v>1587</v>
      </c>
      <c r="AU311" s="222" t="s">
        <v>213</v>
      </c>
      <c r="AY311" s="215" t="s">
        <v>1590</v>
      </c>
      <c r="BK311" s="223">
        <f>BK312</f>
        <v>0</v>
      </c>
    </row>
    <row r="312" spans="2:65" s="152" customFormat="1" ht="16.5" customHeight="1" x14ac:dyDescent="0.25">
      <c r="B312" s="226"/>
      <c r="C312" s="242" t="s">
        <v>733</v>
      </c>
      <c r="D312" s="242" t="s">
        <v>1598</v>
      </c>
      <c r="E312" s="243" t="s">
        <v>2104</v>
      </c>
      <c r="F312" s="244" t="s">
        <v>2105</v>
      </c>
      <c r="G312" s="245" t="s">
        <v>1465</v>
      </c>
      <c r="H312" s="246">
        <v>1</v>
      </c>
      <c r="I312" s="247"/>
      <c r="J312" s="248">
        <f>ROUND(I312*H312,2)</f>
        <v>0</v>
      </c>
      <c r="K312" s="249"/>
      <c r="L312" s="153"/>
      <c r="M312" s="250" t="s">
        <v>4</v>
      </c>
      <c r="N312" s="251" t="s">
        <v>1539</v>
      </c>
      <c r="P312" s="238">
        <f>O312*H312</f>
        <v>0</v>
      </c>
      <c r="Q312" s="238">
        <v>0</v>
      </c>
      <c r="R312" s="238">
        <f>Q312*H312</f>
        <v>0</v>
      </c>
      <c r="S312" s="238">
        <v>0</v>
      </c>
      <c r="T312" s="239">
        <f>S312*H312</f>
        <v>0</v>
      </c>
      <c r="AR312" s="240" t="s">
        <v>2101</v>
      </c>
      <c r="AT312" s="240" t="s">
        <v>1598</v>
      </c>
      <c r="AU312" s="240" t="s">
        <v>221</v>
      </c>
      <c r="AY312" s="146" t="s">
        <v>1590</v>
      </c>
      <c r="BE312" s="241">
        <f>IF(N312="základní",J312,0)</f>
        <v>0</v>
      </c>
      <c r="BF312" s="241">
        <f>IF(N312="snížená",J312,0)</f>
        <v>0</v>
      </c>
      <c r="BG312" s="241">
        <f>IF(N312="zákl. přenesená",J312,0)</f>
        <v>0</v>
      </c>
      <c r="BH312" s="241">
        <f>IF(N312="sníž. přenesená",J312,0)</f>
        <v>0</v>
      </c>
      <c r="BI312" s="241">
        <f>IF(N312="nulová",J312,0)</f>
        <v>0</v>
      </c>
      <c r="BJ312" s="146" t="s">
        <v>213</v>
      </c>
      <c r="BK312" s="241">
        <f>ROUND(I312*H312,2)</f>
        <v>0</v>
      </c>
      <c r="BL312" s="146" t="s">
        <v>2101</v>
      </c>
      <c r="BM312" s="240" t="s">
        <v>2106</v>
      </c>
    </row>
    <row r="313" spans="2:65" s="213" customFormat="1" ht="22.9" customHeight="1" x14ac:dyDescent="0.2">
      <c r="B313" s="214"/>
      <c r="D313" s="215" t="s">
        <v>1587</v>
      </c>
      <c r="E313" s="224" t="s">
        <v>2107</v>
      </c>
      <c r="F313" s="224" t="s">
        <v>2108</v>
      </c>
      <c r="I313" s="217"/>
      <c r="J313" s="225">
        <f>BK313</f>
        <v>0</v>
      </c>
      <c r="L313" s="214"/>
      <c r="M313" s="219"/>
      <c r="P313" s="220">
        <f>SUM(P314:P315)</f>
        <v>0</v>
      </c>
      <c r="R313" s="220">
        <f>SUM(R314:R315)</f>
        <v>0</v>
      </c>
      <c r="T313" s="221">
        <f>SUM(T314:T315)</f>
        <v>0</v>
      </c>
      <c r="AR313" s="215" t="s">
        <v>231</v>
      </c>
      <c r="AT313" s="222" t="s">
        <v>1587</v>
      </c>
      <c r="AU313" s="222" t="s">
        <v>213</v>
      </c>
      <c r="AY313" s="215" t="s">
        <v>1590</v>
      </c>
      <c r="BK313" s="223">
        <f>SUM(BK314:BK315)</f>
        <v>0</v>
      </c>
    </row>
    <row r="314" spans="2:65" s="152" customFormat="1" ht="16.5" customHeight="1" x14ac:dyDescent="0.25">
      <c r="B314" s="226"/>
      <c r="C314" s="242" t="s">
        <v>736</v>
      </c>
      <c r="D314" s="242" t="s">
        <v>1598</v>
      </c>
      <c r="E314" s="243" t="s">
        <v>2109</v>
      </c>
      <c r="F314" s="244" t="s">
        <v>2110</v>
      </c>
      <c r="G314" s="245" t="s">
        <v>1470</v>
      </c>
      <c r="H314" s="246">
        <v>10</v>
      </c>
      <c r="I314" s="247"/>
      <c r="J314" s="248">
        <f>ROUND(I314*H314,2)</f>
        <v>0</v>
      </c>
      <c r="K314" s="249"/>
      <c r="L314" s="153"/>
      <c r="M314" s="250" t="s">
        <v>4</v>
      </c>
      <c r="N314" s="251" t="s">
        <v>1539</v>
      </c>
      <c r="P314" s="238">
        <f>O314*H314</f>
        <v>0</v>
      </c>
      <c r="Q314" s="238">
        <v>0</v>
      </c>
      <c r="R314" s="238">
        <f>Q314*H314</f>
        <v>0</v>
      </c>
      <c r="S314" s="238">
        <v>0</v>
      </c>
      <c r="T314" s="239">
        <f>S314*H314</f>
        <v>0</v>
      </c>
      <c r="AR314" s="240" t="s">
        <v>2101</v>
      </c>
      <c r="AT314" s="240" t="s">
        <v>1598</v>
      </c>
      <c r="AU314" s="240" t="s">
        <v>221</v>
      </c>
      <c r="AY314" s="146" t="s">
        <v>1590</v>
      </c>
      <c r="BE314" s="241">
        <f>IF(N314="základní",J314,0)</f>
        <v>0</v>
      </c>
      <c r="BF314" s="241">
        <f>IF(N314="snížená",J314,0)</f>
        <v>0</v>
      </c>
      <c r="BG314" s="241">
        <f>IF(N314="zákl. přenesená",J314,0)</f>
        <v>0</v>
      </c>
      <c r="BH314" s="241">
        <f>IF(N314="sníž. přenesená",J314,0)</f>
        <v>0</v>
      </c>
      <c r="BI314" s="241">
        <f>IF(N314="nulová",J314,0)</f>
        <v>0</v>
      </c>
      <c r="BJ314" s="146" t="s">
        <v>213</v>
      </c>
      <c r="BK314" s="241">
        <f>ROUND(I314*H314,2)</f>
        <v>0</v>
      </c>
      <c r="BL314" s="146" t="s">
        <v>2101</v>
      </c>
      <c r="BM314" s="240" t="s">
        <v>2111</v>
      </c>
    </row>
    <row r="315" spans="2:65" s="152" customFormat="1" ht="16.5" customHeight="1" x14ac:dyDescent="0.25">
      <c r="B315" s="226"/>
      <c r="C315" s="242" t="s">
        <v>739</v>
      </c>
      <c r="D315" s="242" t="s">
        <v>1598</v>
      </c>
      <c r="E315" s="243" t="s">
        <v>2112</v>
      </c>
      <c r="F315" s="244" t="s">
        <v>2113</v>
      </c>
      <c r="G315" s="245" t="s">
        <v>1465</v>
      </c>
      <c r="H315" s="246">
        <v>1</v>
      </c>
      <c r="I315" s="247"/>
      <c r="J315" s="248">
        <f>ROUND(I315*H315,2)</f>
        <v>0</v>
      </c>
      <c r="K315" s="249"/>
      <c r="L315" s="153"/>
      <c r="M315" s="253" t="s">
        <v>4</v>
      </c>
      <c r="N315" s="254" t="s">
        <v>1539</v>
      </c>
      <c r="O315" s="255"/>
      <c r="P315" s="256">
        <f>O315*H315</f>
        <v>0</v>
      </c>
      <c r="Q315" s="256">
        <v>0</v>
      </c>
      <c r="R315" s="256">
        <f>Q315*H315</f>
        <v>0</v>
      </c>
      <c r="S315" s="256">
        <v>0</v>
      </c>
      <c r="T315" s="257">
        <f>S315*H315</f>
        <v>0</v>
      </c>
      <c r="AR315" s="240" t="s">
        <v>2101</v>
      </c>
      <c r="AT315" s="240" t="s">
        <v>1598</v>
      </c>
      <c r="AU315" s="240" t="s">
        <v>221</v>
      </c>
      <c r="AY315" s="146" t="s">
        <v>1590</v>
      </c>
      <c r="BE315" s="241">
        <f>IF(N315="základní",J315,0)</f>
        <v>0</v>
      </c>
      <c r="BF315" s="241">
        <f>IF(N315="snížená",J315,0)</f>
        <v>0</v>
      </c>
      <c r="BG315" s="241">
        <f>IF(N315="zákl. přenesená",J315,0)</f>
        <v>0</v>
      </c>
      <c r="BH315" s="241">
        <f>IF(N315="sníž. přenesená",J315,0)</f>
        <v>0</v>
      </c>
      <c r="BI315" s="241">
        <f>IF(N315="nulová",J315,0)</f>
        <v>0</v>
      </c>
      <c r="BJ315" s="146" t="s">
        <v>213</v>
      </c>
      <c r="BK315" s="241">
        <f>ROUND(I315*H315,2)</f>
        <v>0</v>
      </c>
      <c r="BL315" s="146" t="s">
        <v>2101</v>
      </c>
      <c r="BM315" s="240" t="s">
        <v>2114</v>
      </c>
    </row>
    <row r="316" spans="2:65" s="152" customFormat="1" ht="6.95" customHeight="1" x14ac:dyDescent="0.25">
      <c r="B316" s="181"/>
      <c r="C316" s="182"/>
      <c r="D316" s="182"/>
      <c r="E316" s="182"/>
      <c r="F316" s="182"/>
      <c r="G316" s="182"/>
      <c r="H316" s="182"/>
      <c r="I316" s="182"/>
      <c r="J316" s="182"/>
      <c r="K316" s="182"/>
      <c r="L316" s="153"/>
    </row>
  </sheetData>
  <autoFilter ref="C129:K315" xr:uid="{00000000-0009-0000-0000-000001000000}"/>
  <mergeCells count="6">
    <mergeCell ref="E122:H122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</vt:i4>
      </vt:variant>
    </vt:vector>
  </HeadingPairs>
  <TitlesOfParts>
    <vt:vector size="12" baseType="lpstr">
      <vt:lpstr>Krycí list rozpočtu</vt:lpstr>
      <vt:lpstr>VORN</vt:lpstr>
      <vt:lpstr>Rozpočet - podskupiny</vt:lpstr>
      <vt:lpstr>Stavební rozpočet</vt:lpstr>
      <vt:lpstr>Výkaz výměr</vt:lpstr>
      <vt:lpstr>BYT</vt:lpstr>
      <vt:lpstr>Kancelář 1</vt:lpstr>
      <vt:lpstr>Kancelář 2</vt:lpstr>
      <vt:lpstr>Elektroinstalace</vt:lpstr>
      <vt:lpstr>Elektroinstalace!Názvy_tisku</vt:lpstr>
      <vt:lpstr>Elektroinstalace!Oblast_tisku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Romana Kocourová</cp:lastModifiedBy>
  <dcterms:created xsi:type="dcterms:W3CDTF">2021-06-10T20:06:38Z</dcterms:created>
  <dcterms:modified xsi:type="dcterms:W3CDTF">2025-04-11T09:04:19Z</dcterms:modified>
</cp:coreProperties>
</file>